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2072" windowHeight="7980" tabRatio="872" activeTab="0"/>
  </bookViews>
  <sheets>
    <sheet name="partial buildout" sheetId="1" r:id="rId1"/>
    <sheet name="100% buildout" sheetId="2" r:id="rId2"/>
    <sheet name="densities" sheetId="3" r:id="rId3"/>
    <sheet name="census" sheetId="4" r:id="rId4"/>
    <sheet name="since'70" sheetId="5" r:id="rId5"/>
    <sheet name="commissioners" sheetId="6" r:id="rId6"/>
  </sheets>
  <definedNames>
    <definedName name="HTML_CodePage" hidden="1">1252</definedName>
    <definedName name="HTML_Control" hidden="1">{"'partial buildout'!$A$1:$L$34"}</definedName>
    <definedName name="HTML_Description" hidden="1">""</definedName>
    <definedName name="HTML_Email" hidden="1">"buildout@SaveOurCounty.org"</definedName>
    <definedName name="HTML_Header" hidden="1">""</definedName>
    <definedName name="HTML_LastUpdate" hidden="1">"11/26/2007"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"C:\Program Files\Homestead\Homestead Professional\Homesteads\_9403453\files\buildout.htm"</definedName>
    <definedName name="HTML_Title" hidden="1">"buildout"</definedName>
  </definedNames>
  <calcPr fullCalcOnLoad="1"/>
</workbook>
</file>

<file path=xl/sharedStrings.xml><?xml version="1.0" encoding="utf-8"?>
<sst xmlns="http://schemas.openxmlformats.org/spreadsheetml/2006/main" count="269" uniqueCount="191">
  <si>
    <t>Government, outside cities</t>
  </si>
  <si>
    <t>Population, at Ratio Shown at Right</t>
  </si>
  <si>
    <t>People, July 2006 (Census)</t>
  </si>
  <si>
    <t>Homes, July 2006 (Census)</t>
  </si>
  <si>
    <t>http://www.census.gov/popest/cities/files/SUB-EST2006_54.csv</t>
  </si>
  <si>
    <t>NAME</t>
  </si>
  <si>
    <t>StateName</t>
  </si>
  <si>
    <t>PopCensus_2000</t>
  </si>
  <si>
    <t>Popbase_2000</t>
  </si>
  <si>
    <t>Pop_2000</t>
  </si>
  <si>
    <t>Pop_2001</t>
  </si>
  <si>
    <t>Pop_2002</t>
  </si>
  <si>
    <t>Pop_2003</t>
  </si>
  <si>
    <t>Pop_2004</t>
  </si>
  <si>
    <t>Pop_2005</t>
  </si>
  <si>
    <t>Pop_2006</t>
  </si>
  <si>
    <t>Bolivar town</t>
  </si>
  <si>
    <t>West Virginia</t>
  </si>
  <si>
    <t>Charles Town city</t>
  </si>
  <si>
    <t>Harpers Ferry town</t>
  </si>
  <si>
    <t>Ranson town</t>
  </si>
  <si>
    <t>Shepherdstown town</t>
  </si>
  <si>
    <t>TOWNS total</t>
  </si>
  <si>
    <t>http://www.census.gov/popest/counties/files/CO-EST2006-POPCHG2000_2006-54.csv</t>
  </si>
  <si>
    <t>ctyname</t>
  </si>
  <si>
    <t>stname</t>
  </si>
  <si>
    <t>estimatesbase2000</t>
  </si>
  <si>
    <t>popestimate2000</t>
  </si>
  <si>
    <t>popestimate2001</t>
  </si>
  <si>
    <t>popestimate2002</t>
  </si>
  <si>
    <t>popestimate2003</t>
  </si>
  <si>
    <t>popestimate2004</t>
  </si>
  <si>
    <t>popestimate2005</t>
  </si>
  <si>
    <t>popestimate2006</t>
  </si>
  <si>
    <t>Jefferson County</t>
  </si>
  <si>
    <t>http://factfinder.census.gov/servlet/DTTable?_bm=y&amp;-context=dt&amp;-ds_name=DEC_2000_SF1_U&amp;-mt_name=DEC_2000_SF1_U_H001&amp;-CONTEXT=dt&amp;-tree_id=4001&amp;-all_geo_types=N&amp;-geo_id=16000US5408932&amp;-geo_id=16000US5414610&amp;-geo_id=16000US5418040&amp;-geo_id=16000US5435284&amp;-geo</t>
  </si>
  <si>
    <t>2000 HOUSING UNITS</t>
  </si>
  <si>
    <t>Bolivar town, West Virginia</t>
  </si>
  <si>
    <t>Charles Town city, West Virginia</t>
  </si>
  <si>
    <t>Corporation of Ranson town, West Virginia</t>
  </si>
  <si>
    <t>Harpers Ferry town, West Virginia</t>
  </si>
  <si>
    <t>Shepherdstown town, West Virginia</t>
  </si>
  <si>
    <t>http://www.census.gov/popest/housing/files/HU-EST2006-54.CSV</t>
  </si>
  <si>
    <t>CTYNAME</t>
  </si>
  <si>
    <t>HUCENSUS2000</t>
  </si>
  <si>
    <t>HUESTBASE2000</t>
  </si>
  <si>
    <t>HUEST_2000</t>
  </si>
  <si>
    <t>HUEST_2001</t>
  </si>
  <si>
    <t>HUEST_2002</t>
  </si>
  <si>
    <t>HUEST_2003</t>
  </si>
  <si>
    <t>HUEST_2004</t>
  </si>
  <si>
    <t>HUEST_2005</t>
  </si>
  <si>
    <t>HUEST_2006</t>
  </si>
  <si>
    <t>Cities</t>
  </si>
  <si>
    <t>Acres</t>
  </si>
  <si>
    <t>General Commercial</t>
  </si>
  <si>
    <t>Neighborhood Conservation</t>
  </si>
  <si>
    <t>Countryside</t>
  </si>
  <si>
    <t>TOTAL, INCLUDES EXISTING</t>
  </si>
  <si>
    <t>x</t>
  </si>
  <si>
    <t>multifamily</t>
  </si>
  <si>
    <t>planned</t>
  </si>
  <si>
    <t>1 family</t>
  </si>
  <si>
    <t>cluster</t>
  </si>
  <si>
    <t>hamlet</t>
  </si>
  <si>
    <t>equestrian</t>
  </si>
  <si>
    <t>farmstead</t>
  </si>
  <si>
    <t>countryside</t>
  </si>
  <si>
    <t>top 2</t>
  </si>
  <si>
    <t>net density</t>
  </si>
  <si>
    <t>gross density</t>
  </si>
  <si>
    <t>% open</t>
  </si>
  <si>
    <t>hamlet transit access</t>
  </si>
  <si>
    <t>agriculture</t>
  </si>
  <si>
    <t>estate</t>
  </si>
  <si>
    <t>residential</t>
  </si>
  <si>
    <t>townscape</t>
  </si>
  <si>
    <t>TS</t>
  </si>
  <si>
    <t>RS</t>
  </si>
  <si>
    <t>ES</t>
  </si>
  <si>
    <t>AG</t>
  </si>
  <si>
    <t>CS</t>
  </si>
  <si>
    <t>net multiplied by % not: natural resource or new open space</t>
  </si>
  <si>
    <t>calc</t>
  </si>
  <si>
    <t>Assume "hamlet transit access" is rare (currently undefined).</t>
  </si>
  <si>
    <t>Assume average % outside Water, Roads, Dedicated open space, etc.:</t>
  </si>
  <si>
    <t>Assume average % natural resource lands:</t>
  </si>
  <si>
    <t>lesser density, of two previous columns</t>
  </si>
  <si>
    <t>Agriculture</t>
  </si>
  <si>
    <t>Estate</t>
  </si>
  <si>
    <t>Residential</t>
  </si>
  <si>
    <t>Townscape</t>
  </si>
  <si>
    <t>Business Park</t>
  </si>
  <si>
    <t>in accessory units</t>
  </si>
  <si>
    <t>Homes per Acre, after Open Space, Natural Resources</t>
  </si>
  <si>
    <t>avg homes /acre w/o accessory</t>
  </si>
  <si>
    <t>Ratio of people to all homes (including vacant homes)</t>
  </si>
  <si>
    <t>Ratio of people to all homes outside cities</t>
  </si>
  <si>
    <t>in cities (based on Census 2000)</t>
  </si>
  <si>
    <t>in basic units (based on Census 2006)</t>
  </si>
  <si>
    <t>Consultant agreed the proposals would overwhelm roads &amp; other resources, but said any tighter controls on county density would be undermined by annexations.</t>
  </si>
  <si>
    <t>Total County, includes cities</t>
  </si>
  <si>
    <t>Village Conservation</t>
  </si>
  <si>
    <t>Annual growth rate (Comprehensive Plan p.112)</t>
  </si>
  <si>
    <t>% of County</t>
  </si>
  <si>
    <t>Further Buildout as % of Authorized</t>
  </si>
  <si>
    <t>Additional Homes, at Percent Buildout Shown at Right</t>
  </si>
  <si>
    <t>Ratio of People to Homes:</t>
  </si>
  <si>
    <t>Owner</t>
  </si>
  <si>
    <t>Total Units Allowed (incl. current ones)</t>
  </si>
  <si>
    <t>Type of Zoning &amp; Development</t>
  </si>
  <si>
    <t>Total Acres</t>
  </si>
  <si>
    <t>Housing Units Allowed /Acre (incl. Acc.)</t>
  </si>
  <si>
    <t>Acres in Each Parcel</t>
  </si>
  <si>
    <t>Map</t>
  </si>
  <si>
    <t>Parcel</t>
  </si>
  <si>
    <t>Morgan A M S Est</t>
  </si>
  <si>
    <t>Kabletown</t>
  </si>
  <si>
    <t>Morgan Frances B</t>
  </si>
  <si>
    <t>Middleway</t>
  </si>
  <si>
    <t>Corliss Gregory A</t>
  </si>
  <si>
    <t>Charles Town District</t>
  </si>
  <si>
    <t>Surkamp James T</t>
  </si>
  <si>
    <t>Shepherdstown District</t>
  </si>
  <si>
    <t>Manuel Calvin D</t>
  </si>
  <si>
    <t>4D</t>
  </si>
  <si>
    <t>Tax District</t>
  </si>
  <si>
    <t>DRAFT DISTRICTS, 11/07 draft</t>
  </si>
  <si>
    <t>Outside Cities</t>
  </si>
  <si>
    <t>Total growth including cities</t>
  </si>
  <si>
    <t>Buildout as % of Authorized</t>
  </si>
  <si>
    <t>Homes, at Percent Buildout Shown at Right</t>
  </si>
  <si>
    <t>Existing</t>
  </si>
  <si>
    <t>Total growth outside cities (excludes existing)</t>
  </si>
  <si>
    <t>Existing outside cities (above)</t>
  </si>
  <si>
    <t>Existing, including cities (above)</t>
  </si>
  <si>
    <t>Total Additional Units</t>
  </si>
  <si>
    <t>Total growth outside cities</t>
  </si>
  <si>
    <t>Total projected outside cities, includes existing</t>
  </si>
  <si>
    <t>Neighborhood Conservation is primarily on the mountain on tax maps CT21+23, HF12+13, K6-8. At last count (7/98) these maps had 2256 homes, 1084 buildable lots, and 4041 unbuildable lots (www.listeners.homestead.com/files/BUILDABL.WPD). These are assumed buildable at a rate of a principal structure per 3 unbuildable lots. Note this is very close to an average of 1 principal structure per acre.</t>
  </si>
  <si>
    <t>Neighborhood Conservation is primarily on the mountain on tax maps CT21+23, HF12+13, K6-8. At last count (7/98) these maps had 1084 buildable lots, and 4041 unbuildable lots(www.listeners.homestead.com/files/BUILDABL.WPD). These are assumed buildable at a rate of a principal structure per 3 unbuildable lots. The buildout % shown is applied to this buildable total.</t>
  </si>
  <si>
    <t>Other districts also have many unbuilt lots, as well as  areas which can be subdivided at the new densities, which is why a 20% buildout is plausible.</t>
  </si>
  <si>
    <t>Lots per acre Allowed</t>
  </si>
  <si>
    <t>Accessory Units per Lot</t>
  </si>
  <si>
    <t>Agriculture: Planned</t>
  </si>
  <si>
    <t>Agriculture: Cluster</t>
  </si>
  <si>
    <t>Estate: 1Family</t>
  </si>
  <si>
    <t>Residential: 1Family</t>
  </si>
  <si>
    <t>2/lot</t>
  </si>
  <si>
    <t>% outside ROW, easements, etc. (assumed)</t>
  </si>
  <si>
    <t>Open Space Remaining (need not be together)</t>
  </si>
  <si>
    <t>click for</t>
  </si>
  <si>
    <t>excel file</t>
  </si>
  <si>
    <t>Top of the page shows population now and small growth under the Comprehensive Plan.</t>
  </si>
  <si>
    <t>"Partial Buildout" shows vastly bigger growth under the draft Zoning Ordinance.</t>
  </si>
  <si>
    <t>Now, existing, outside cities</t>
  </si>
  <si>
    <t>Additional Accessory or Institutional Units</t>
  </si>
  <si>
    <t>accessory or extra institutional units /acre</t>
  </si>
  <si>
    <t>Additional Accessory or Institutional Units Projected per Acre</t>
  </si>
  <si>
    <t>avg accessory + Institutional /acre</t>
  </si>
  <si>
    <t>2. Partial Buildout</t>
  </si>
  <si>
    <t>1. Projected Population</t>
  </si>
  <si>
    <t>3. 100% Buildout</t>
  </si>
  <si>
    <t>4. Homes per Acre, draft 11/07</t>
  </si>
  <si>
    <t>5. POPULATIONS</t>
  </si>
  <si>
    <t>6. HOUSING UNITS</t>
  </si>
  <si>
    <t xml:space="preserve">7. Commissioners' Land </t>
  </si>
  <si>
    <t>Click</t>
  </si>
  <si>
    <t>date</t>
  </si>
  <si>
    <t>population</t>
  </si>
  <si>
    <t>annual % change</t>
  </si>
  <si>
    <t>8. County Population</t>
  </si>
  <si>
    <t>decade averages (compound interest)</t>
  </si>
  <si>
    <t xml:space="preserve"> to read tables 3 - 8. Once you are in the excel spreadsheet, click tabs at the bottom of the window.</t>
  </si>
  <si>
    <t>Accessory units have 1 bedroom and are under 600 square feet (p.116), plus unlimited space with ceilings under 7 feet (p.253). "Institutional Residential" may have double density, with no limit on unit size (p.34). Condos count as institutions if they have a dining room or clinic (pp. 12, 34, 229).</t>
  </si>
  <si>
    <t>gross multiplied by % outside old easements, water, etc.</t>
  </si>
  <si>
    <t>total acres needed, in order to sub-divide</t>
  </si>
  <si>
    <t>Ordinance allows lower of 2 densities: (A) gross density times land outside old easement, etc. or (B) net density times land outside old easements, etc. times larger of: (1) % not required to be in open space, or (2) % not in specified types of natural rewource areas on property. As long as each unit is on a separate lot, each may have an accessory unit, so the 2 columns are equal. Buildout assumes the average density of the 2 densest styles of development, marked with "x."</t>
  </si>
  <si>
    <r>
      <t>Zoning District names are in bold.</t>
    </r>
    <r>
      <rPr>
        <sz val="10"/>
        <rFont val="Arial Narrow"/>
        <family val="2"/>
      </rPr>
      <t xml:space="preserve"> Nonbold shows types of development in each district.</t>
    </r>
  </si>
  <si>
    <t>Sources: Pages in the Zoning Ordinance</t>
  </si>
  <si>
    <t>p.56</t>
  </si>
  <si>
    <t>p.77</t>
  </si>
  <si>
    <t>p.116</t>
  </si>
  <si>
    <t>growth per year (change  blue numbers &amp; see result)</t>
  </si>
  <si>
    <t>Homes Authorized per Acre, after Open Space, Natural Resources</t>
  </si>
  <si>
    <t>(from table 4)</t>
  </si>
  <si>
    <t>(assumed)</t>
  </si>
  <si>
    <t>(calc)</t>
  </si>
  <si>
    <t>Total growth during</t>
  </si>
  <si>
    <t>County total after the above growth, includes cities</t>
  </si>
  <si>
    <t>years,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</si>
</sst>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31">
    <font>
      <sz val="10"/>
      <name val="Arial"/>
      <family val="0"/>
    </font>
    <font>
      <b/>
      <sz val="18"/>
      <name val="Arial Black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Arial Narrow"/>
      <family val="2"/>
    </font>
    <font>
      <i/>
      <sz val="11"/>
      <name val="Arial Narrow"/>
      <family val="2"/>
    </font>
    <font>
      <i/>
      <sz val="11"/>
      <name val="Arial"/>
      <family val="0"/>
    </font>
    <font>
      <b/>
      <i/>
      <sz val="11"/>
      <name val="Arial Narrow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Times New Roman"/>
      <family val="1"/>
    </font>
    <font>
      <b/>
      <sz val="11"/>
      <color indexed="10"/>
      <name val="Arial Narrow"/>
      <family val="2"/>
    </font>
    <font>
      <b/>
      <sz val="11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 Narrow"/>
      <family val="2"/>
    </font>
    <font>
      <b/>
      <sz val="10"/>
      <name val="Arial Black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right" wrapText="1"/>
    </xf>
    <xf numFmtId="0" fontId="2" fillId="0" borderId="3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8" fillId="0" borderId="0" xfId="0" applyFont="1" applyAlignment="1">
      <alignment/>
    </xf>
    <xf numFmtId="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9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9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6" fillId="0" borderId="0" xfId="0" applyFont="1" applyAlignment="1">
      <alignment horizontal="right" wrapText="1"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2" fillId="0" borderId="4" xfId="0" applyFont="1" applyBorder="1" applyAlignment="1">
      <alignment/>
    </xf>
    <xf numFmtId="9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9" fontId="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9" fontId="13" fillId="0" borderId="4" xfId="0" applyNumberFormat="1" applyFont="1" applyBorder="1" applyAlignment="1">
      <alignment/>
    </xf>
    <xf numFmtId="0" fontId="23" fillId="0" borderId="4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0" xfId="20" applyFont="1" applyAlignment="1">
      <alignment horizontal="right"/>
    </xf>
    <xf numFmtId="164" fontId="0" fillId="0" borderId="0" xfId="0" applyNumberForma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0" fontId="28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6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23" fillId="0" borderId="3" xfId="0" applyNumberFormat="1" applyFont="1" applyBorder="1" applyAlignment="1">
      <alignment/>
    </xf>
    <xf numFmtId="3" fontId="23" fillId="0" borderId="8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30" fillId="0" borderId="1" xfId="20" applyFont="1" applyBorder="1" applyAlignment="1">
      <alignment horizontal="right"/>
    </xf>
    <xf numFmtId="0" fontId="30" fillId="0" borderId="1" xfId="20" applyFont="1" applyBorder="1" applyAlignment="1">
      <alignment/>
    </xf>
    <xf numFmtId="9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3" fontId="11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right" wrapText="1"/>
    </xf>
    <xf numFmtId="0" fontId="11" fillId="0" borderId="6" xfId="0" applyFont="1" applyBorder="1" applyAlignment="1">
      <alignment/>
    </xf>
    <xf numFmtId="0" fontId="0" fillId="0" borderId="0" xfId="0" applyAlignment="1">
      <alignment/>
    </xf>
    <xf numFmtId="0" fontId="13" fillId="0" borderId="4" xfId="0" applyFont="1" applyBorder="1" applyAlignment="1">
      <alignment/>
    </xf>
    <xf numFmtId="0" fontId="0" fillId="0" borderId="4" xfId="0" applyBorder="1" applyAlignment="1">
      <alignment/>
    </xf>
    <xf numFmtId="0" fontId="15" fillId="0" borderId="6" xfId="0" applyFon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3" xfId="0" applyBorder="1" applyAlignment="1">
      <alignment/>
    </xf>
    <xf numFmtId="0" fontId="23" fillId="0" borderId="6" xfId="0" applyFont="1" applyBorder="1" applyAlignment="1">
      <alignment/>
    </xf>
    <xf numFmtId="0" fontId="11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steners.homestead.com/files/buildout.xls" TargetMode="External" /><Relationship Id="rId2" Type="http://schemas.openxmlformats.org/officeDocument/2006/relationships/hyperlink" Target="http://www.listeners.homestead.com/files/buildout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26.7109375" style="52" customWidth="1"/>
    <col min="2" max="2" width="8.8515625" style="52" customWidth="1"/>
    <col min="3" max="3" width="9.140625" style="52" customWidth="1"/>
    <col min="4" max="4" width="9.57421875" style="52" customWidth="1"/>
    <col min="5" max="5" width="10.00390625" style="52" customWidth="1"/>
    <col min="6" max="6" width="9.28125" style="52" customWidth="1"/>
    <col min="7" max="7" width="11.28125" style="52" customWidth="1"/>
    <col min="8" max="8" width="10.8515625" style="52" customWidth="1"/>
    <col min="9" max="9" width="9.7109375" style="52" customWidth="1"/>
    <col min="10" max="10" width="10.421875" style="5" customWidth="1"/>
    <col min="11" max="11" width="8.421875" style="52" customWidth="1"/>
    <col min="12" max="12" width="29.421875" style="52" customWidth="1"/>
    <col min="13" max="16384" width="8.8515625" style="52" customWidth="1"/>
  </cols>
  <sheetData>
    <row r="1" spans="1:10" ht="24" customHeight="1">
      <c r="A1" s="150" t="s">
        <v>153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6.25" customHeight="1">
      <c r="A2" s="151" t="s">
        <v>154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17" customHeight="1">
      <c r="A3" s="23" t="s">
        <v>161</v>
      </c>
      <c r="B3" s="133"/>
      <c r="C3" s="132"/>
      <c r="D3" s="134" t="s">
        <v>151</v>
      </c>
      <c r="E3" s="135" t="s">
        <v>152</v>
      </c>
      <c r="F3" s="132"/>
      <c r="G3" s="132"/>
      <c r="H3" s="132"/>
      <c r="I3" s="1" t="s">
        <v>3</v>
      </c>
      <c r="J3" s="2" t="s">
        <v>2</v>
      </c>
      <c r="K3" s="142"/>
      <c r="L3" s="47"/>
    </row>
    <row r="4" spans="1:10" s="58" customFormat="1" ht="14.25">
      <c r="A4" s="147" t="s">
        <v>53</v>
      </c>
      <c r="B4" s="144"/>
      <c r="C4" s="144"/>
      <c r="D4" s="144"/>
      <c r="E4" s="97"/>
      <c r="F4" s="97"/>
      <c r="G4" s="97"/>
      <c r="H4" s="97"/>
      <c r="I4" s="125">
        <f>census!K26</f>
        <v>4981.444028453762</v>
      </c>
      <c r="J4" s="126">
        <f>census!K10</f>
        <v>10403</v>
      </c>
    </row>
    <row r="5" spans="1:10" ht="13.5">
      <c r="A5" s="157" t="s">
        <v>155</v>
      </c>
      <c r="B5" s="144"/>
      <c r="C5" s="144"/>
      <c r="D5" s="144"/>
      <c r="E5" s="89"/>
      <c r="F5" s="89"/>
      <c r="G5" s="89"/>
      <c r="H5" s="89"/>
      <c r="I5" s="127">
        <f>I6-I4</f>
        <v>16142.555971546237</v>
      </c>
      <c r="J5" s="128">
        <f>J6-J4</f>
        <v>40040</v>
      </c>
    </row>
    <row r="6" spans="1:10" ht="13.5">
      <c r="A6" s="143" t="s">
        <v>101</v>
      </c>
      <c r="B6" s="144"/>
      <c r="C6" s="144"/>
      <c r="D6" s="144"/>
      <c r="E6" s="53"/>
      <c r="F6" s="53"/>
      <c r="G6" s="53"/>
      <c r="H6" s="53"/>
      <c r="I6" s="129">
        <f>census!K31</f>
        <v>21124</v>
      </c>
      <c r="J6" s="141">
        <f>census!K14</f>
        <v>50443</v>
      </c>
    </row>
    <row r="7" spans="1:10" ht="13.5">
      <c r="A7" s="143" t="s">
        <v>103</v>
      </c>
      <c r="B7" s="144"/>
      <c r="C7" s="144"/>
      <c r="D7" s="144"/>
      <c r="E7" s="53"/>
      <c r="F7" s="53"/>
      <c r="G7" s="53"/>
      <c r="H7" s="53"/>
      <c r="I7" s="130">
        <v>0.015</v>
      </c>
      <c r="J7" s="131">
        <v>0.015</v>
      </c>
    </row>
    <row r="8" spans="1:10" s="118" customFormat="1" ht="13.5">
      <c r="A8" s="119" t="s">
        <v>188</v>
      </c>
      <c r="B8" s="121">
        <v>10</v>
      </c>
      <c r="C8" s="122" t="s">
        <v>190</v>
      </c>
      <c r="D8" s="123">
        <v>0.015</v>
      </c>
      <c r="E8" s="154" t="s">
        <v>183</v>
      </c>
      <c r="F8" s="144"/>
      <c r="G8" s="144"/>
      <c r="H8" s="144"/>
      <c r="I8" s="124">
        <f>I6*((1+$D$8)^$B$8-1)</f>
        <v>3391.264387831238</v>
      </c>
      <c r="J8" s="124">
        <f>J6*((1+$D$8)^$B$8-1)</f>
        <v>8098.160836743568</v>
      </c>
    </row>
    <row r="9" spans="1:10" s="5" customFormat="1" ht="13.5">
      <c r="A9" s="155" t="s">
        <v>189</v>
      </c>
      <c r="B9" s="156"/>
      <c r="C9" s="156"/>
      <c r="D9" s="156"/>
      <c r="E9" s="120"/>
      <c r="F9" s="120"/>
      <c r="G9" s="120"/>
      <c r="H9" s="120"/>
      <c r="I9" s="127">
        <f>I6+I8</f>
        <v>24515.264387831237</v>
      </c>
      <c r="J9" s="128">
        <f>J6+J8</f>
        <v>58541.16083674357</v>
      </c>
    </row>
    <row r="10" spans="1:12" ht="113.25" customHeight="1">
      <c r="A10" s="6" t="s">
        <v>160</v>
      </c>
      <c r="B10" s="7" t="s">
        <v>54</v>
      </c>
      <c r="C10" s="8" t="s">
        <v>104</v>
      </c>
      <c r="D10" s="9" t="s">
        <v>184</v>
      </c>
      <c r="E10" s="9" t="s">
        <v>105</v>
      </c>
      <c r="F10" s="9" t="s">
        <v>106</v>
      </c>
      <c r="G10" s="9" t="s">
        <v>158</v>
      </c>
      <c r="H10" s="9" t="s">
        <v>156</v>
      </c>
      <c r="I10" s="9" t="s">
        <v>136</v>
      </c>
      <c r="J10" s="9" t="s">
        <v>1</v>
      </c>
      <c r="K10" s="69" t="s">
        <v>107</v>
      </c>
      <c r="L10" s="56"/>
    </row>
    <row r="11" spans="1:12" ht="37.5" customHeight="1">
      <c r="A11" s="108" t="s">
        <v>127</v>
      </c>
      <c r="B11" s="137"/>
      <c r="C11" s="138"/>
      <c r="D11" s="139" t="s">
        <v>185</v>
      </c>
      <c r="E11" s="136" t="s">
        <v>186</v>
      </c>
      <c r="F11" s="138" t="s">
        <v>187</v>
      </c>
      <c r="G11" s="136" t="s">
        <v>186</v>
      </c>
      <c r="H11" s="138" t="s">
        <v>187</v>
      </c>
      <c r="I11" s="138" t="s">
        <v>187</v>
      </c>
      <c r="J11" s="138" t="s">
        <v>187</v>
      </c>
      <c r="K11" s="140"/>
      <c r="L11" s="58"/>
    </row>
    <row r="12" spans="1:12" s="58" customFormat="1" ht="15.75" customHeight="1">
      <c r="A12" s="102" t="s">
        <v>53</v>
      </c>
      <c r="B12" s="103">
        <v>9360.2</v>
      </c>
      <c r="C12" s="104">
        <f aca="true" t="shared" si="0" ref="C12:C22">B12/B$28</f>
        <v>0.06918977255087484</v>
      </c>
      <c r="D12" s="105">
        <v>6</v>
      </c>
      <c r="E12" s="104">
        <v>0.5</v>
      </c>
      <c r="F12" s="103">
        <f>B12*D12*E12</f>
        <v>28080.600000000002</v>
      </c>
      <c r="G12" s="106"/>
      <c r="H12" s="102"/>
      <c r="I12" s="96">
        <f>F12+H12</f>
        <v>28080.600000000002</v>
      </c>
      <c r="J12" s="103">
        <f>F12*K12</f>
        <v>58688.454</v>
      </c>
      <c r="K12" s="107">
        <f>ROUND(census!C27,2)</f>
        <v>2.09</v>
      </c>
      <c r="L12" s="102" t="s">
        <v>98</v>
      </c>
    </row>
    <row r="13" spans="1:12" ht="15.75" customHeight="1">
      <c r="A13" s="5" t="s">
        <v>0</v>
      </c>
      <c r="B13" s="10">
        <v>11753</v>
      </c>
      <c r="C13" s="13">
        <f t="shared" si="0"/>
        <v>0.08687713903446849</v>
      </c>
      <c r="D13" s="14">
        <v>0</v>
      </c>
      <c r="E13" s="13"/>
      <c r="F13" s="10"/>
      <c r="G13" s="66"/>
      <c r="H13" s="5"/>
      <c r="I13" s="5"/>
      <c r="J13" s="10"/>
      <c r="K13" s="58"/>
      <c r="L13" s="58"/>
    </row>
    <row r="14" spans="1:12" ht="15.75" customHeight="1">
      <c r="A14" s="59" t="s">
        <v>88</v>
      </c>
      <c r="B14" s="60">
        <f>B28-SUM(B12:B13)-SUM(B15:B22)</f>
        <v>74770.20000000001</v>
      </c>
      <c r="C14" s="61">
        <f t="shared" si="0"/>
        <v>0.552694721435805</v>
      </c>
      <c r="D14" s="62">
        <f>densities!K9</f>
        <v>0.233225</v>
      </c>
      <c r="E14" s="61">
        <v>0.8</v>
      </c>
      <c r="F14" s="60">
        <f aca="true" t="shared" si="1" ref="F14:F19">B14*D14*E14</f>
        <v>13950.623916000004</v>
      </c>
      <c r="G14" s="64">
        <v>0.1</v>
      </c>
      <c r="H14" s="63">
        <f>B14*G14</f>
        <v>7477.020000000001</v>
      </c>
      <c r="I14" s="63">
        <f>F14+H14</f>
        <v>21427.643916000005</v>
      </c>
      <c r="J14" s="60">
        <f>F14*K$15+H14*K$16</f>
        <v>45813.07731168001</v>
      </c>
      <c r="K14" s="74"/>
      <c r="L14" s="75" t="s">
        <v>128</v>
      </c>
    </row>
    <row r="15" spans="1:12" ht="15.75" customHeight="1">
      <c r="A15" s="59" t="s">
        <v>57</v>
      </c>
      <c r="B15" s="60">
        <v>6922.3</v>
      </c>
      <c r="C15" s="61">
        <f t="shared" si="0"/>
        <v>0.05116903084644782</v>
      </c>
      <c r="D15" s="62">
        <f>densities!K17</f>
        <v>0.3543974999999999</v>
      </c>
      <c r="E15" s="61">
        <v>0.2</v>
      </c>
      <c r="F15" s="60">
        <f t="shared" si="1"/>
        <v>490.6491628499999</v>
      </c>
      <c r="G15" s="64">
        <v>0.1</v>
      </c>
      <c r="H15" s="63">
        <f aca="true" t="shared" si="2" ref="H15:H20">B15*G15</f>
        <v>692.23</v>
      </c>
      <c r="I15" s="63">
        <f aca="true" t="shared" si="3" ref="I15:I20">F15+H15</f>
        <v>1182.8791628499998</v>
      </c>
      <c r="J15" s="60">
        <f>F15*K$15+H15*K$16</f>
        <v>2255.154923868</v>
      </c>
      <c r="K15" s="75">
        <f>ROUND(census!K33,2)</f>
        <v>2.48</v>
      </c>
      <c r="L15" s="75" t="s">
        <v>99</v>
      </c>
    </row>
    <row r="16" spans="1:12" ht="15.75" customHeight="1">
      <c r="A16" s="59" t="s">
        <v>89</v>
      </c>
      <c r="B16" s="60">
        <v>12634</v>
      </c>
      <c r="C16" s="61">
        <f t="shared" si="0"/>
        <v>0.0933894133039628</v>
      </c>
      <c r="D16" s="62">
        <f>densities!K22</f>
        <v>0.6688000000000001</v>
      </c>
      <c r="E16" s="61">
        <v>0.2</v>
      </c>
      <c r="F16" s="60">
        <f t="shared" si="1"/>
        <v>1689.9238400000004</v>
      </c>
      <c r="G16" s="64">
        <v>0.1</v>
      </c>
      <c r="H16" s="63">
        <f t="shared" si="2"/>
        <v>1263.4</v>
      </c>
      <c r="I16" s="63">
        <f t="shared" si="3"/>
        <v>2953.3238400000005</v>
      </c>
      <c r="J16" s="60">
        <f>F16*K$15+H16*K$16</f>
        <v>6086.111123200001</v>
      </c>
      <c r="K16" s="75">
        <v>1.5</v>
      </c>
      <c r="L16" s="75" t="s">
        <v>93</v>
      </c>
    </row>
    <row r="17" spans="1:12" ht="15.75" customHeight="1">
      <c r="A17" s="59" t="s">
        <v>90</v>
      </c>
      <c r="B17" s="60">
        <v>8658.9</v>
      </c>
      <c r="C17" s="61">
        <f t="shared" si="0"/>
        <v>0.06400582482647486</v>
      </c>
      <c r="D17" s="62">
        <f>densities!K26</f>
        <v>2.4557499999999997</v>
      </c>
      <c r="E17" s="61">
        <v>0.2</v>
      </c>
      <c r="F17" s="60">
        <f t="shared" si="1"/>
        <v>4252.818735</v>
      </c>
      <c r="G17" s="64">
        <v>0.25</v>
      </c>
      <c r="H17" s="63">
        <f t="shared" si="2"/>
        <v>2164.725</v>
      </c>
      <c r="I17" s="63">
        <f t="shared" si="3"/>
        <v>6417.543734999999</v>
      </c>
      <c r="J17" s="60">
        <f>F17*K$15+H17*K$16</f>
        <v>13794.0779628</v>
      </c>
      <c r="K17" s="75"/>
      <c r="L17" s="75"/>
    </row>
    <row r="18" spans="1:12" ht="15.75" customHeight="1">
      <c r="A18" s="59" t="s">
        <v>91</v>
      </c>
      <c r="B18" s="60">
        <v>0</v>
      </c>
      <c r="C18" s="61">
        <f t="shared" si="0"/>
        <v>0</v>
      </c>
      <c r="D18" s="62">
        <f>densities!K30</f>
        <v>12.349999999999998</v>
      </c>
      <c r="E18" s="61"/>
      <c r="F18" s="60"/>
      <c r="G18" s="64"/>
      <c r="H18" s="63"/>
      <c r="I18" s="63"/>
      <c r="J18" s="60"/>
      <c r="K18" s="75"/>
      <c r="L18" s="75"/>
    </row>
    <row r="19" spans="1:12" ht="15.75" customHeight="1">
      <c r="A19" s="5" t="s">
        <v>102</v>
      </c>
      <c r="B19" s="10">
        <v>881.6</v>
      </c>
      <c r="C19" s="13">
        <f t="shared" si="0"/>
        <v>0.006516709416556404</v>
      </c>
      <c r="D19" s="14">
        <v>1</v>
      </c>
      <c r="E19" s="13">
        <v>0.2</v>
      </c>
      <c r="F19" s="10">
        <f t="shared" si="1"/>
        <v>176.32000000000002</v>
      </c>
      <c r="G19" s="68">
        <v>0.25</v>
      </c>
      <c r="H19" s="67">
        <f t="shared" si="2"/>
        <v>220.4</v>
      </c>
      <c r="I19" s="67">
        <f t="shared" si="3"/>
        <v>396.72</v>
      </c>
      <c r="J19" s="10">
        <f>F19*K$15+H19*K$16</f>
        <v>767.8736000000001</v>
      </c>
      <c r="K19" s="5"/>
      <c r="L19" s="5"/>
    </row>
    <row r="20" spans="1:12" ht="15.75" customHeight="1">
      <c r="A20" s="5" t="s">
        <v>56</v>
      </c>
      <c r="B20" s="10">
        <f>6.4+179.7+23.2+4421.1</f>
        <v>4630.400000000001</v>
      </c>
      <c r="C20" s="13">
        <f t="shared" si="0"/>
        <v>0.034227508260461406</v>
      </c>
      <c r="D20" s="14"/>
      <c r="E20" s="13">
        <v>0.5</v>
      </c>
      <c r="F20" s="10">
        <f>E20*(1084+(3798+243)/3)</f>
        <v>1215.5</v>
      </c>
      <c r="G20" s="68">
        <v>0.25</v>
      </c>
      <c r="H20" s="67">
        <f t="shared" si="2"/>
        <v>1157.6000000000001</v>
      </c>
      <c r="I20" s="67">
        <f t="shared" si="3"/>
        <v>2373.1000000000004</v>
      </c>
      <c r="J20" s="10">
        <f>F20*K$15+H20*K$16</f>
        <v>4750.84</v>
      </c>
      <c r="K20" s="5"/>
      <c r="L20" s="5"/>
    </row>
    <row r="21" spans="1:12" ht="15.75" customHeight="1">
      <c r="A21" s="5" t="s">
        <v>55</v>
      </c>
      <c r="B21" s="10">
        <v>761.4</v>
      </c>
      <c r="C21" s="13">
        <f t="shared" si="0"/>
        <v>0.005628201621785442</v>
      </c>
      <c r="D21" s="14">
        <v>0</v>
      </c>
      <c r="E21" s="13"/>
      <c r="F21" s="10"/>
      <c r="G21" s="66"/>
      <c r="H21" s="5"/>
      <c r="I21" s="5"/>
      <c r="J21" s="10"/>
      <c r="K21" s="5"/>
      <c r="L21" s="5"/>
    </row>
    <row r="22" spans="1:12" ht="15.75" customHeight="1">
      <c r="A22" s="5" t="s">
        <v>92</v>
      </c>
      <c r="B22" s="10">
        <v>4911</v>
      </c>
      <c r="C22" s="13">
        <f t="shared" si="0"/>
        <v>0.036301678703163</v>
      </c>
      <c r="D22" s="14">
        <v>0</v>
      </c>
      <c r="E22" s="13"/>
      <c r="F22" s="10"/>
      <c r="G22" s="66"/>
      <c r="H22" s="5"/>
      <c r="I22" s="5"/>
      <c r="J22" s="10"/>
      <c r="K22" s="5"/>
      <c r="L22" s="5"/>
    </row>
    <row r="23" spans="1:12" s="54" customFormat="1" ht="15.75" customHeight="1">
      <c r="A23" s="92" t="s">
        <v>137</v>
      </c>
      <c r="B23" s="10"/>
      <c r="C23" s="13"/>
      <c r="D23" s="15"/>
      <c r="E23" s="13"/>
      <c r="F23" s="10">
        <f>SUM(F13:F22)</f>
        <v>21775.835653850005</v>
      </c>
      <c r="G23" s="52"/>
      <c r="H23" s="10">
        <f>SUM(H13:H22)</f>
        <v>12975.375000000002</v>
      </c>
      <c r="I23" s="93">
        <f>SUM(I13:I22)</f>
        <v>34751.21065385001</v>
      </c>
      <c r="J23" s="93">
        <f>SUM(J13:J22)</f>
        <v>73467.13492154801</v>
      </c>
      <c r="K23" s="55"/>
      <c r="L23" s="12"/>
    </row>
    <row r="24" spans="1:12" s="54" customFormat="1" ht="15.75" customHeight="1">
      <c r="A24" s="5" t="s">
        <v>134</v>
      </c>
      <c r="B24" s="10"/>
      <c r="C24" s="13"/>
      <c r="D24" s="15"/>
      <c r="E24" s="13"/>
      <c r="F24" s="52"/>
      <c r="G24" s="52"/>
      <c r="H24" s="10"/>
      <c r="I24" s="10">
        <f>I5</f>
        <v>16142.555971546237</v>
      </c>
      <c r="J24" s="10">
        <f>J5</f>
        <v>40040</v>
      </c>
      <c r="K24" s="55"/>
      <c r="L24" s="12"/>
    </row>
    <row r="25" spans="1:12" s="54" customFormat="1" ht="15.75" customHeight="1">
      <c r="A25" s="145" t="s">
        <v>138</v>
      </c>
      <c r="B25" s="146"/>
      <c r="C25" s="94"/>
      <c r="D25" s="90"/>
      <c r="E25" s="94"/>
      <c r="F25" s="95"/>
      <c r="G25" s="95"/>
      <c r="H25" s="91"/>
      <c r="I25" s="91">
        <f>I23+I24</f>
        <v>50893.766625396245</v>
      </c>
      <c r="J25" s="91">
        <f>J23+J24</f>
        <v>113507.13492154801</v>
      </c>
      <c r="K25" s="55"/>
      <c r="L25" s="12"/>
    </row>
    <row r="26" spans="1:12" s="85" customFormat="1" ht="15.75" customHeight="1">
      <c r="A26" s="92" t="s">
        <v>129</v>
      </c>
      <c r="B26" s="93"/>
      <c r="C26" s="98"/>
      <c r="D26" s="99"/>
      <c r="E26" s="100"/>
      <c r="H26" s="92"/>
      <c r="I26" s="93">
        <f>I12+I23</f>
        <v>62831.810653850014</v>
      </c>
      <c r="J26" s="93">
        <f>J12+J23</f>
        <v>132155.588921548</v>
      </c>
      <c r="K26" s="101"/>
      <c r="L26" s="92"/>
    </row>
    <row r="27" spans="1:12" ht="15.75" customHeight="1">
      <c r="A27" s="5" t="s">
        <v>135</v>
      </c>
      <c r="B27" s="10"/>
      <c r="C27" s="13"/>
      <c r="D27" s="15"/>
      <c r="E27" s="65"/>
      <c r="H27" s="5"/>
      <c r="I27" s="10">
        <f>I6</f>
        <v>21124</v>
      </c>
      <c r="J27" s="10">
        <f>J6</f>
        <v>50443</v>
      </c>
      <c r="K27" s="56"/>
      <c r="L27" s="5"/>
    </row>
    <row r="28" spans="1:12" ht="15.75" customHeight="1">
      <c r="A28" s="86" t="s">
        <v>58</v>
      </c>
      <c r="B28" s="87">
        <v>135283</v>
      </c>
      <c r="C28" s="86"/>
      <c r="D28" s="86"/>
      <c r="E28" s="88"/>
      <c r="F28" s="89"/>
      <c r="G28" s="89"/>
      <c r="H28" s="86"/>
      <c r="I28" s="87">
        <f>I27+I26</f>
        <v>83955.81065385001</v>
      </c>
      <c r="J28" s="87">
        <f>J27+J26</f>
        <v>182598.588921548</v>
      </c>
      <c r="K28" s="56"/>
      <c r="L28" s="5"/>
    </row>
    <row r="29" spans="1:9" ht="13.5">
      <c r="A29" s="12"/>
      <c r="B29" s="12"/>
      <c r="C29" s="5"/>
      <c r="D29" s="10"/>
      <c r="E29" s="5"/>
      <c r="F29" s="5"/>
      <c r="G29" s="5"/>
      <c r="H29" s="5"/>
      <c r="I29" s="5"/>
    </row>
    <row r="30" spans="1:12" ht="31.5" customHeight="1">
      <c r="A30" s="152" t="s">
        <v>174</v>
      </c>
      <c r="B30" s="153"/>
      <c r="C30" s="153"/>
      <c r="D30" s="153"/>
      <c r="E30" s="153"/>
      <c r="F30" s="153"/>
      <c r="G30" s="153"/>
      <c r="H30" s="153"/>
      <c r="I30" s="149"/>
      <c r="J30" s="149"/>
      <c r="K30" s="149"/>
      <c r="L30" s="149"/>
    </row>
    <row r="31" spans="1:12" ht="24.75" customHeight="1">
      <c r="A31" s="152" t="s">
        <v>100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33.75" customHeight="1">
      <c r="A32" s="152" t="s">
        <v>140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2" ht="13.5">
      <c r="A33" s="152" t="s">
        <v>141</v>
      </c>
      <c r="B33" s="153"/>
      <c r="C33" s="153"/>
      <c r="D33" s="153"/>
      <c r="E33" s="153"/>
      <c r="F33" s="153"/>
      <c r="G33" s="153"/>
      <c r="H33" s="153"/>
      <c r="I33" s="153"/>
      <c r="J33" s="152"/>
      <c r="K33" s="153"/>
      <c r="L33" s="153"/>
    </row>
    <row r="34" spans="1:12" ht="29.25" customHeight="1">
      <c r="A34" s="110" t="s">
        <v>167</v>
      </c>
      <c r="B34" s="148" t="s">
        <v>173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</sheetData>
  <mergeCells count="14">
    <mergeCell ref="B34:L34"/>
    <mergeCell ref="A1:J1"/>
    <mergeCell ref="A2:J2"/>
    <mergeCell ref="A33:L33"/>
    <mergeCell ref="A30:L30"/>
    <mergeCell ref="A32:L32"/>
    <mergeCell ref="A31:L31"/>
    <mergeCell ref="E8:H8"/>
    <mergeCell ref="A9:D9"/>
    <mergeCell ref="A5:D5"/>
    <mergeCell ref="A6:D6"/>
    <mergeCell ref="A7:D7"/>
    <mergeCell ref="A25:B25"/>
    <mergeCell ref="A4:D4"/>
  </mergeCells>
  <hyperlinks>
    <hyperlink ref="D3:E3" r:id="rId1" display="http://www.listeners.homestead.com/files/buildout.xls"/>
    <hyperlink ref="A34" r:id="rId2" display="http://www.listeners.homestead.com/files/buildout.xls"/>
  </hyperlinks>
  <printOptions/>
  <pageMargins left="0.5" right="0.3" top="1" bottom="1" header="0.5" footer="0.5"/>
  <pageSetup fitToHeight="1" fitToWidth="1" orientation="portrait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3" max="4" width="9.7109375" style="0" customWidth="1"/>
    <col min="5" max="5" width="9.57421875" style="0" customWidth="1"/>
    <col min="6" max="6" width="11.57421875" style="0" customWidth="1"/>
    <col min="7" max="7" width="11.28125" style="0" customWidth="1"/>
    <col min="8" max="9" width="10.28125" style="0" customWidth="1"/>
    <col min="10" max="10" width="8.140625" style="0" customWidth="1"/>
    <col min="11" max="11" width="30.28125" style="0" customWidth="1"/>
  </cols>
  <sheetData>
    <row r="1" spans="1:11" ht="105.75" customHeight="1">
      <c r="A1" s="6" t="s">
        <v>162</v>
      </c>
      <c r="B1" s="7" t="s">
        <v>54</v>
      </c>
      <c r="C1" s="9" t="s">
        <v>94</v>
      </c>
      <c r="D1" s="9" t="s">
        <v>130</v>
      </c>
      <c r="E1" s="9" t="s">
        <v>131</v>
      </c>
      <c r="F1" s="9" t="s">
        <v>158</v>
      </c>
      <c r="G1" s="9" t="s">
        <v>156</v>
      </c>
      <c r="H1" s="9" t="s">
        <v>136</v>
      </c>
      <c r="I1" s="9" t="s">
        <v>1</v>
      </c>
      <c r="J1" s="69" t="s">
        <v>107</v>
      </c>
      <c r="K1" s="56"/>
    </row>
    <row r="2" spans="1:11" ht="21" customHeight="1">
      <c r="A2" s="108" t="s">
        <v>127</v>
      </c>
      <c r="B2" s="10"/>
      <c r="C2" s="11"/>
      <c r="D2" s="65"/>
      <c r="E2" s="5"/>
      <c r="F2" s="52"/>
      <c r="G2" s="5"/>
      <c r="H2" s="5"/>
      <c r="I2" s="5"/>
      <c r="J2" s="52"/>
      <c r="K2" s="58"/>
    </row>
    <row r="3" spans="1:11" s="115" customFormat="1" ht="14.25">
      <c r="A3" s="102" t="s">
        <v>53</v>
      </c>
      <c r="B3" s="103">
        <f>'partial buildout'!B12</f>
        <v>9360.2</v>
      </c>
      <c r="C3" s="105">
        <v>6</v>
      </c>
      <c r="D3" s="104">
        <v>1</v>
      </c>
      <c r="E3" s="103">
        <f>B3*C3*D3</f>
        <v>56161.200000000004</v>
      </c>
      <c r="F3" s="106"/>
      <c r="G3" s="102"/>
      <c r="H3" s="96">
        <f>E3+G3</f>
        <v>56161.200000000004</v>
      </c>
      <c r="I3" s="103">
        <f>E3*J3</f>
        <v>117376.908</v>
      </c>
      <c r="J3" s="107">
        <f>'partial buildout'!K12</f>
        <v>2.09</v>
      </c>
      <c r="K3" s="102" t="s">
        <v>98</v>
      </c>
    </row>
    <row r="4" spans="1:11" ht="14.25">
      <c r="A4" s="5" t="s">
        <v>0</v>
      </c>
      <c r="B4" s="10">
        <f>'partial buildout'!B13</f>
        <v>11753</v>
      </c>
      <c r="C4" s="14">
        <v>0</v>
      </c>
      <c r="D4" s="13"/>
      <c r="E4" s="10"/>
      <c r="F4" s="66"/>
      <c r="G4" s="5"/>
      <c r="H4" s="5"/>
      <c r="I4" s="10">
        <f>E4*(J$12+J$13)/2</f>
        <v>0</v>
      </c>
      <c r="J4" s="58"/>
      <c r="K4" s="58"/>
    </row>
    <row r="5" spans="1:11" ht="13.5">
      <c r="A5" s="59" t="s">
        <v>88</v>
      </c>
      <c r="B5" s="60">
        <f>'partial buildout'!B14</f>
        <v>74770.20000000001</v>
      </c>
      <c r="C5" s="62">
        <f>'partial buildout'!D14</f>
        <v>0.233225</v>
      </c>
      <c r="D5" s="61">
        <v>1</v>
      </c>
      <c r="E5" s="60">
        <f>B5*C5*D5</f>
        <v>17438.279895000003</v>
      </c>
      <c r="F5" s="64">
        <f>C5*D5</f>
        <v>0.233225</v>
      </c>
      <c r="G5" s="63">
        <f>B5*F5</f>
        <v>17438.279895000003</v>
      </c>
      <c r="H5" s="63">
        <f>E5+G5</f>
        <v>34876.55979000001</v>
      </c>
      <c r="I5" s="60">
        <f>E5*J$6+G5*J$7</f>
        <v>69404.35398210002</v>
      </c>
      <c r="J5" s="117"/>
      <c r="K5" s="75" t="s">
        <v>128</v>
      </c>
    </row>
    <row r="6" spans="1:11" ht="13.5">
      <c r="A6" s="59" t="s">
        <v>57</v>
      </c>
      <c r="B6" s="60">
        <f>'partial buildout'!B15</f>
        <v>6922.3</v>
      </c>
      <c r="C6" s="62">
        <f>'partial buildout'!D15</f>
        <v>0.3543974999999999</v>
      </c>
      <c r="D6" s="61">
        <v>1</v>
      </c>
      <c r="E6" s="60">
        <f>B6*C6*D6</f>
        <v>2453.2458142499995</v>
      </c>
      <c r="F6" s="64">
        <f>C6</f>
        <v>0.3543974999999999</v>
      </c>
      <c r="G6" s="63">
        <f>B6*F6</f>
        <v>2453.2458142499995</v>
      </c>
      <c r="H6" s="63">
        <f aca="true" t="shared" si="0" ref="H6:H11">E6+G6</f>
        <v>4906.491628499999</v>
      </c>
      <c r="I6" s="60">
        <f>E6*J$6+G6*J$7</f>
        <v>9763.918340714998</v>
      </c>
      <c r="J6" s="75">
        <f>'partial buildout'!K15</f>
        <v>2.48</v>
      </c>
      <c r="K6" s="75" t="s">
        <v>99</v>
      </c>
    </row>
    <row r="7" spans="1:11" ht="13.5">
      <c r="A7" s="59" t="s">
        <v>89</v>
      </c>
      <c r="B7" s="60">
        <f>'partial buildout'!B16</f>
        <v>12634</v>
      </c>
      <c r="C7" s="62">
        <f>'partial buildout'!D16</f>
        <v>0.6688000000000001</v>
      </c>
      <c r="D7" s="61">
        <v>1</v>
      </c>
      <c r="E7" s="60">
        <f>B7*C7*D7</f>
        <v>8449.619200000001</v>
      </c>
      <c r="F7" s="64">
        <f>C7</f>
        <v>0.6688000000000001</v>
      </c>
      <c r="G7" s="63">
        <f>B7*F7</f>
        <v>8449.619200000001</v>
      </c>
      <c r="H7" s="63">
        <f t="shared" si="0"/>
        <v>16899.238400000002</v>
      </c>
      <c r="I7" s="60">
        <f>E7*J$6+G7*J$7</f>
        <v>33629.48441600001</v>
      </c>
      <c r="J7" s="75">
        <v>1.5</v>
      </c>
      <c r="K7" s="75" t="s">
        <v>93</v>
      </c>
    </row>
    <row r="8" spans="1:11" ht="13.5">
      <c r="A8" s="59" t="s">
        <v>90</v>
      </c>
      <c r="B8" s="60">
        <f>'partial buildout'!B17</f>
        <v>8658.9</v>
      </c>
      <c r="C8" s="62">
        <f>'partial buildout'!D17</f>
        <v>2.4557499999999997</v>
      </c>
      <c r="D8" s="61">
        <v>1</v>
      </c>
      <c r="E8" s="60">
        <f>B8*C8*D8</f>
        <v>21264.093674999996</v>
      </c>
      <c r="F8" s="64">
        <f>C8</f>
        <v>2.4557499999999997</v>
      </c>
      <c r="G8" s="63">
        <f>B8*F8</f>
        <v>21264.093674999996</v>
      </c>
      <c r="H8" s="63">
        <f t="shared" si="0"/>
        <v>42528.18734999999</v>
      </c>
      <c r="I8" s="60">
        <f>E8*J$6+G8*J$7</f>
        <v>84631.09282649998</v>
      </c>
      <c r="J8" s="75"/>
      <c r="K8" s="75"/>
    </row>
    <row r="9" spans="1:11" ht="13.5">
      <c r="A9" s="59" t="s">
        <v>91</v>
      </c>
      <c r="B9" s="60">
        <f>'partial buildout'!B18</f>
        <v>0</v>
      </c>
      <c r="C9" s="62">
        <f>'partial buildout'!D18</f>
        <v>12.349999999999998</v>
      </c>
      <c r="D9" s="61"/>
      <c r="E9" s="60"/>
      <c r="F9" s="64"/>
      <c r="G9" s="63"/>
      <c r="H9" s="63"/>
      <c r="I9" s="60"/>
      <c r="J9" s="75"/>
      <c r="K9" s="75"/>
    </row>
    <row r="10" spans="1:11" ht="13.5">
      <c r="A10" s="5" t="s">
        <v>102</v>
      </c>
      <c r="B10" s="10">
        <f>'partial buildout'!B19</f>
        <v>881.6</v>
      </c>
      <c r="C10" s="14">
        <v>1</v>
      </c>
      <c r="D10" s="13">
        <v>1</v>
      </c>
      <c r="E10" s="10">
        <f>B10*C10*D10</f>
        <v>881.6</v>
      </c>
      <c r="F10" s="76">
        <f>C10</f>
        <v>1</v>
      </c>
      <c r="G10" s="67">
        <f>B10*F10</f>
        <v>881.6</v>
      </c>
      <c r="H10" s="67">
        <f t="shared" si="0"/>
        <v>1763.2</v>
      </c>
      <c r="I10" s="77">
        <f>E10*J$6+G10*J$7</f>
        <v>3508.768</v>
      </c>
      <c r="J10" s="5"/>
      <c r="K10" s="5"/>
    </row>
    <row r="11" spans="1:11" ht="13.5">
      <c r="A11" s="5" t="s">
        <v>56</v>
      </c>
      <c r="B11" s="10">
        <f>'partial buildout'!B20</f>
        <v>4630.400000000001</v>
      </c>
      <c r="C11" s="83"/>
      <c r="D11" s="13">
        <v>1</v>
      </c>
      <c r="E11" s="10">
        <f>1084+2256+(3798+243)/3</f>
        <v>4687</v>
      </c>
      <c r="F11" s="68">
        <f>C11*D11</f>
        <v>0</v>
      </c>
      <c r="G11" s="67">
        <f>E11</f>
        <v>4687</v>
      </c>
      <c r="H11" s="67">
        <f t="shared" si="0"/>
        <v>9374</v>
      </c>
      <c r="I11" s="77">
        <f>E11*J$6+G11*J$7</f>
        <v>18654.260000000002</v>
      </c>
      <c r="J11" s="5"/>
      <c r="K11" s="5"/>
    </row>
    <row r="12" spans="1:11" ht="13.5">
      <c r="A12" s="5" t="s">
        <v>55</v>
      </c>
      <c r="B12" s="10">
        <f>'partial buildout'!B21</f>
        <v>761.4</v>
      </c>
      <c r="C12" s="14">
        <v>0</v>
      </c>
      <c r="D12" s="13"/>
      <c r="E12" s="10"/>
      <c r="F12" s="66"/>
      <c r="G12" s="5"/>
      <c r="H12" s="5"/>
      <c r="I12" s="10">
        <f>E12*(J$12+J$13)/2</f>
        <v>0</v>
      </c>
      <c r="J12" s="5"/>
      <c r="K12" s="5"/>
    </row>
    <row r="13" spans="1:11" ht="13.5">
      <c r="A13" s="5" t="s">
        <v>92</v>
      </c>
      <c r="B13" s="10">
        <f>'partial buildout'!B22</f>
        <v>4911</v>
      </c>
      <c r="C13" s="14">
        <v>0</v>
      </c>
      <c r="D13" s="13"/>
      <c r="E13" s="10"/>
      <c r="F13" s="66"/>
      <c r="G13" s="5"/>
      <c r="H13" s="5"/>
      <c r="I13" s="10">
        <f>E13*(J$12+J$13)/2</f>
        <v>0</v>
      </c>
      <c r="J13" s="5"/>
      <c r="K13" s="5"/>
    </row>
    <row r="14" spans="1:11" s="78" customFormat="1" ht="13.5">
      <c r="A14" s="159" t="s">
        <v>138</v>
      </c>
      <c r="B14" s="146"/>
      <c r="C14" s="146"/>
      <c r="D14" s="146"/>
      <c r="E14" s="18">
        <f>SUM(E4:E13)</f>
        <v>55173.83858425</v>
      </c>
      <c r="F14" s="79"/>
      <c r="G14" s="18">
        <f>SUM(G4:G13)</f>
        <v>55173.83858425</v>
      </c>
      <c r="H14" s="18">
        <f>SUM(H4:H13)</f>
        <v>110347.6771685</v>
      </c>
      <c r="I14" s="18">
        <f>SUM(I4:I13)</f>
        <v>219591.87756531502</v>
      </c>
      <c r="J14" s="12"/>
      <c r="K14" s="12"/>
    </row>
    <row r="15" spans="1:11" s="78" customFormat="1" ht="13.5">
      <c r="A15" s="160" t="s">
        <v>133</v>
      </c>
      <c r="B15" s="161"/>
      <c r="C15" s="161"/>
      <c r="D15" s="161"/>
      <c r="E15" s="81"/>
      <c r="F15" s="82"/>
      <c r="G15" s="82"/>
      <c r="H15" s="81">
        <f>H14-H17</f>
        <v>89223.6771685</v>
      </c>
      <c r="I15" s="81">
        <f>I14-I17</f>
        <v>169148.87756531502</v>
      </c>
      <c r="J15" s="55"/>
      <c r="K15" s="12"/>
    </row>
    <row r="16" spans="1:11" ht="13.5">
      <c r="A16" s="5" t="s">
        <v>129</v>
      </c>
      <c r="B16" s="10"/>
      <c r="C16" s="15"/>
      <c r="D16" s="65"/>
      <c r="E16" s="10"/>
      <c r="F16" s="52"/>
      <c r="G16" s="5"/>
      <c r="H16" s="10">
        <f>H3+H15</f>
        <v>145384.8771685</v>
      </c>
      <c r="I16" s="10">
        <f>I3+I15</f>
        <v>286525.78556531505</v>
      </c>
      <c r="J16" s="56"/>
      <c r="K16" s="5"/>
    </row>
    <row r="17" spans="1:11" ht="13.5">
      <c r="A17" s="5" t="s">
        <v>132</v>
      </c>
      <c r="B17" s="10"/>
      <c r="C17" s="15"/>
      <c r="D17" s="65"/>
      <c r="F17" s="52"/>
      <c r="G17" s="5"/>
      <c r="H17" s="10">
        <f>'partial buildout'!I6</f>
        <v>21124</v>
      </c>
      <c r="I17" s="10">
        <f>'partial buildout'!J6</f>
        <v>50443</v>
      </c>
      <c r="J17" s="56"/>
      <c r="K17" s="5"/>
    </row>
    <row r="18" spans="1:11" ht="13.5">
      <c r="A18" s="3" t="s">
        <v>58</v>
      </c>
      <c r="B18" s="4">
        <f>'partial buildout'!B28</f>
        <v>135283</v>
      </c>
      <c r="C18" s="3"/>
      <c r="D18" s="80"/>
      <c r="E18" s="57"/>
      <c r="F18" s="53"/>
      <c r="G18" s="15"/>
      <c r="H18" s="4">
        <f>H16+H17</f>
        <v>166508.8771685</v>
      </c>
      <c r="I18" s="4">
        <f>I17+I16</f>
        <v>336968.78556531505</v>
      </c>
      <c r="J18" s="56"/>
      <c r="K18" s="5"/>
    </row>
    <row r="19" spans="1:11" ht="13.5">
      <c r="A19" s="12"/>
      <c r="B19" s="12"/>
      <c r="C19" s="5"/>
      <c r="D19" s="10"/>
      <c r="E19" s="5"/>
      <c r="F19" s="5"/>
      <c r="G19" s="5"/>
      <c r="H19" s="4"/>
      <c r="I19" s="5"/>
      <c r="J19" s="52"/>
      <c r="K19" s="52"/>
    </row>
    <row r="20" spans="1:11" ht="30.75" customHeight="1">
      <c r="A20" s="152" t="s">
        <v>174</v>
      </c>
      <c r="B20" s="153"/>
      <c r="C20" s="153"/>
      <c r="D20" s="153"/>
      <c r="E20" s="153"/>
      <c r="F20" s="153"/>
      <c r="G20" s="153"/>
      <c r="H20" s="153"/>
      <c r="I20" s="149"/>
      <c r="J20" s="149"/>
      <c r="K20" s="149"/>
    </row>
    <row r="21" spans="1:11" ht="13.5">
      <c r="A21" s="152" t="s">
        <v>100</v>
      </c>
      <c r="B21" s="158"/>
      <c r="C21" s="158"/>
      <c r="D21" s="158"/>
      <c r="E21" s="158"/>
      <c r="F21" s="158"/>
      <c r="G21" s="158"/>
      <c r="H21" s="158"/>
      <c r="I21" s="5"/>
      <c r="J21" s="52"/>
      <c r="K21" s="52"/>
    </row>
    <row r="22" spans="1:11" s="17" customFormat="1" ht="39" customHeight="1">
      <c r="A22" s="152" t="s">
        <v>139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</sheetData>
  <mergeCells count="5">
    <mergeCell ref="A21:H21"/>
    <mergeCell ref="A22:K22"/>
    <mergeCell ref="A20:K20"/>
    <mergeCell ref="A14:D14"/>
    <mergeCell ref="A15:D15"/>
  </mergeCells>
  <printOptions/>
  <pageMargins left="0.5" right="0.25" top="1" bottom="1" header="0.5" footer="0.5"/>
  <pageSetup fitToHeight="1" fitToWidth="1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17" customWidth="1"/>
    <col min="2" max="2" width="8.57421875" style="17" customWidth="1"/>
    <col min="3" max="5" width="8.8515625" style="17" customWidth="1"/>
    <col min="6" max="6" width="10.7109375" style="17" customWidth="1"/>
    <col min="7" max="7" width="10.57421875" style="17" customWidth="1"/>
    <col min="8" max="8" width="9.28125" style="17" customWidth="1"/>
    <col min="9" max="9" width="13.7109375" style="26" customWidth="1"/>
    <col min="10" max="10" width="6.140625" style="17" customWidth="1"/>
    <col min="11" max="11" width="10.421875" style="28" customWidth="1"/>
    <col min="12" max="12" width="12.421875" style="17" customWidth="1"/>
    <col min="13" max="16384" width="8.8515625" style="17" customWidth="1"/>
  </cols>
  <sheetData>
    <row r="1" spans="1:10" ht="18">
      <c r="A1" s="24" t="s">
        <v>163</v>
      </c>
      <c r="B1" s="24"/>
      <c r="C1" s="25"/>
      <c r="D1" s="26"/>
      <c r="E1" s="26"/>
      <c r="F1" s="26"/>
      <c r="G1" s="26"/>
      <c r="H1" s="26"/>
      <c r="J1" s="27"/>
    </row>
    <row r="2" spans="1:12" ht="26.25" customHeight="1">
      <c r="A2" s="162" t="s">
        <v>177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7.5" customHeight="1">
      <c r="A3" s="29" t="s">
        <v>178</v>
      </c>
      <c r="B3" s="29" t="s">
        <v>176</v>
      </c>
      <c r="C3" s="30" t="s">
        <v>71</v>
      </c>
      <c r="D3" s="31" t="s">
        <v>70</v>
      </c>
      <c r="E3" s="31" t="s">
        <v>69</v>
      </c>
      <c r="F3" s="31" t="s">
        <v>175</v>
      </c>
      <c r="G3" s="31" t="s">
        <v>82</v>
      </c>
      <c r="H3" s="31" t="s">
        <v>87</v>
      </c>
      <c r="I3" s="31" t="s">
        <v>157</v>
      </c>
      <c r="J3" s="29" t="s">
        <v>68</v>
      </c>
      <c r="K3" s="32" t="s">
        <v>95</v>
      </c>
      <c r="L3" s="29" t="s">
        <v>159</v>
      </c>
    </row>
    <row r="4" spans="1:11" ht="13.5">
      <c r="A4" s="29"/>
      <c r="B4" s="29"/>
      <c r="C4" s="30"/>
      <c r="D4" s="31"/>
      <c r="E4" s="31"/>
      <c r="F4" s="31"/>
      <c r="G4" s="31"/>
      <c r="H4" s="31"/>
      <c r="I4" s="31"/>
      <c r="J4" s="29"/>
      <c r="K4" s="32"/>
    </row>
    <row r="5" spans="1:11" s="16" customFormat="1" ht="13.5">
      <c r="A5" s="16" t="s">
        <v>73</v>
      </c>
      <c r="C5" s="33"/>
      <c r="D5" s="34" t="s">
        <v>80</v>
      </c>
      <c r="E5" s="34"/>
      <c r="F5" s="34"/>
      <c r="G5" s="34"/>
      <c r="H5" s="34"/>
      <c r="I5" s="34"/>
      <c r="J5" s="35"/>
      <c r="K5" s="36"/>
    </row>
    <row r="6" spans="1:10" ht="13.5">
      <c r="A6" s="17" t="s">
        <v>66</v>
      </c>
      <c r="B6" s="17">
        <v>40</v>
      </c>
      <c r="C6" s="25">
        <v>0</v>
      </c>
      <c r="D6" s="26">
        <v>0.025</v>
      </c>
      <c r="E6" s="26">
        <v>0.025</v>
      </c>
      <c r="F6" s="26">
        <f aca="true" t="shared" si="0" ref="F6:F11">D6*G$35</f>
        <v>0.02375</v>
      </c>
      <c r="G6" s="26">
        <f aca="true" t="shared" si="1" ref="G6:G11">E6*G$35*(1-MAX(G$36,C6))</f>
        <v>0.021375</v>
      </c>
      <c r="H6" s="26">
        <f>MIN(F6,G6)</f>
        <v>0.021375</v>
      </c>
      <c r="I6" s="26">
        <f>H6</f>
        <v>0.021375</v>
      </c>
      <c r="J6" s="27"/>
    </row>
    <row r="7" spans="1:10" ht="13.5">
      <c r="A7" s="17" t="s">
        <v>65</v>
      </c>
      <c r="B7" s="17">
        <v>35</v>
      </c>
      <c r="C7" s="25">
        <v>0.5</v>
      </c>
      <c r="D7" s="26">
        <v>0.09</v>
      </c>
      <c r="E7" s="26">
        <v>0.183</v>
      </c>
      <c r="F7" s="26">
        <f t="shared" si="0"/>
        <v>0.08549999999999999</v>
      </c>
      <c r="G7" s="26">
        <f t="shared" si="1"/>
        <v>0.08692499999999999</v>
      </c>
      <c r="H7" s="26">
        <f aca="true" t="shared" si="2" ref="H7:H31">MIN(F7,G7)</f>
        <v>0.08549999999999999</v>
      </c>
      <c r="I7" s="26">
        <f aca="true" t="shared" si="3" ref="I7:I30">H7</f>
        <v>0.08549999999999999</v>
      </c>
      <c r="J7" s="27"/>
    </row>
    <row r="8" spans="1:10" ht="13.5">
      <c r="A8" s="17" t="s">
        <v>63</v>
      </c>
      <c r="B8" s="17">
        <v>18</v>
      </c>
      <c r="C8" s="25">
        <v>0.85</v>
      </c>
      <c r="D8" s="26">
        <v>0.113</v>
      </c>
      <c r="E8" s="26">
        <v>0.833</v>
      </c>
      <c r="F8" s="26">
        <f t="shared" si="0"/>
        <v>0.10735</v>
      </c>
      <c r="G8" s="26">
        <f t="shared" si="1"/>
        <v>0.1187025</v>
      </c>
      <c r="H8" s="26">
        <f t="shared" si="2"/>
        <v>0.10735</v>
      </c>
      <c r="I8" s="26">
        <f t="shared" si="3"/>
        <v>0.10735</v>
      </c>
      <c r="J8" s="27"/>
    </row>
    <row r="9" spans="1:12" ht="13.5">
      <c r="A9" s="17" t="s">
        <v>61</v>
      </c>
      <c r="B9" s="17">
        <v>80</v>
      </c>
      <c r="C9" s="25">
        <v>0.9</v>
      </c>
      <c r="D9" s="26">
        <v>0.191</v>
      </c>
      <c r="E9" s="26">
        <v>2.134</v>
      </c>
      <c r="F9" s="26">
        <f t="shared" si="0"/>
        <v>0.18145</v>
      </c>
      <c r="G9" s="26">
        <f t="shared" si="1"/>
        <v>0.20272999999999994</v>
      </c>
      <c r="H9" s="26">
        <f t="shared" si="2"/>
        <v>0.18145</v>
      </c>
      <c r="I9" s="26">
        <f t="shared" si="3"/>
        <v>0.18145</v>
      </c>
      <c r="J9" s="27" t="s">
        <v>59</v>
      </c>
      <c r="K9" s="28">
        <f>AVERAGE(H9:H10)</f>
        <v>0.233225</v>
      </c>
      <c r="L9" s="28">
        <f>AVERAGE(I9:I10)</f>
        <v>0.233225</v>
      </c>
    </row>
    <row r="10" spans="1:10" ht="13.5">
      <c r="A10" s="17" t="s">
        <v>64</v>
      </c>
      <c r="B10" s="17">
        <v>250</v>
      </c>
      <c r="C10" s="25">
        <v>0.92</v>
      </c>
      <c r="D10" s="26">
        <v>0.3</v>
      </c>
      <c r="E10" s="26">
        <v>4.461</v>
      </c>
      <c r="F10" s="26">
        <f t="shared" si="0"/>
        <v>0.285</v>
      </c>
      <c r="G10" s="26">
        <f t="shared" si="1"/>
        <v>0.3390359999999998</v>
      </c>
      <c r="H10" s="26">
        <f t="shared" si="2"/>
        <v>0.285</v>
      </c>
      <c r="I10" s="26">
        <f t="shared" si="3"/>
        <v>0.285</v>
      </c>
      <c r="J10" s="27" t="s">
        <v>59</v>
      </c>
    </row>
    <row r="11" spans="1:10" ht="13.5">
      <c r="A11" s="17" t="s">
        <v>72</v>
      </c>
      <c r="B11" s="17">
        <v>250</v>
      </c>
      <c r="C11" s="25">
        <v>0.92</v>
      </c>
      <c r="D11" s="26">
        <v>0.4</v>
      </c>
      <c r="E11" s="26">
        <v>7</v>
      </c>
      <c r="F11" s="26">
        <f t="shared" si="0"/>
        <v>0.38</v>
      </c>
      <c r="G11" s="26">
        <f t="shared" si="1"/>
        <v>0.5319999999999997</v>
      </c>
      <c r="H11" s="26">
        <f t="shared" si="2"/>
        <v>0.38</v>
      </c>
      <c r="I11" s="26">
        <f t="shared" si="3"/>
        <v>0.38</v>
      </c>
      <c r="J11" s="27"/>
    </row>
    <row r="12" spans="1:11" s="16" customFormat="1" ht="13.5">
      <c r="A12" s="16" t="s">
        <v>67</v>
      </c>
      <c r="C12" s="33"/>
      <c r="D12" s="34" t="s">
        <v>81</v>
      </c>
      <c r="E12" s="34"/>
      <c r="F12" s="26"/>
      <c r="G12" s="26"/>
      <c r="H12" s="26"/>
      <c r="I12" s="26"/>
      <c r="J12" s="35"/>
      <c r="K12" s="36"/>
    </row>
    <row r="13" spans="1:10" ht="13.5">
      <c r="A13" s="17" t="s">
        <v>66</v>
      </c>
      <c r="B13" s="17">
        <v>40</v>
      </c>
      <c r="C13" s="25">
        <v>0</v>
      </c>
      <c r="D13" s="26">
        <v>0.025</v>
      </c>
      <c r="E13" s="26">
        <v>0.025</v>
      </c>
      <c r="F13" s="26">
        <f aca="true" t="shared" si="4" ref="F13:F19">D13*G$35</f>
        <v>0.02375</v>
      </c>
      <c r="G13" s="26">
        <f aca="true" t="shared" si="5" ref="G13:G19">E13*G$35*(1-MAX(G$36,C13))</f>
        <v>0.021375</v>
      </c>
      <c r="H13" s="26">
        <f t="shared" si="2"/>
        <v>0.021375</v>
      </c>
      <c r="I13" s="26">
        <f t="shared" si="3"/>
        <v>0.021375</v>
      </c>
      <c r="J13" s="27"/>
    </row>
    <row r="14" spans="1:10" ht="13.5">
      <c r="A14" s="17" t="s">
        <v>62</v>
      </c>
      <c r="B14" s="17">
        <v>5</v>
      </c>
      <c r="C14" s="25">
        <v>0</v>
      </c>
      <c r="D14" s="26">
        <v>0.183</v>
      </c>
      <c r="E14" s="26">
        <v>0.183</v>
      </c>
      <c r="F14" s="26">
        <f t="shared" si="4"/>
        <v>0.17384999999999998</v>
      </c>
      <c r="G14" s="26">
        <f t="shared" si="5"/>
        <v>0.156465</v>
      </c>
      <c r="H14" s="26">
        <f t="shared" si="2"/>
        <v>0.156465</v>
      </c>
      <c r="I14" s="26">
        <f t="shared" si="3"/>
        <v>0.156465</v>
      </c>
      <c r="J14" s="27"/>
    </row>
    <row r="15" spans="1:10" ht="13.5">
      <c r="A15" s="17" t="s">
        <v>65</v>
      </c>
      <c r="B15" s="17">
        <v>20</v>
      </c>
      <c r="C15" s="25">
        <v>0.3</v>
      </c>
      <c r="D15" s="26">
        <v>0.211</v>
      </c>
      <c r="E15" s="26">
        <v>0.301</v>
      </c>
      <c r="F15" s="26">
        <f t="shared" si="4"/>
        <v>0.20045</v>
      </c>
      <c r="G15" s="26">
        <f t="shared" si="5"/>
        <v>0.20016499999999998</v>
      </c>
      <c r="H15" s="26">
        <f t="shared" si="2"/>
        <v>0.20016499999999998</v>
      </c>
      <c r="I15" s="26">
        <f t="shared" si="3"/>
        <v>0.20016499999999998</v>
      </c>
      <c r="J15" s="27"/>
    </row>
    <row r="16" spans="1:10" ht="13.5">
      <c r="A16" s="17" t="s">
        <v>63</v>
      </c>
      <c r="B16" s="17">
        <v>20</v>
      </c>
      <c r="C16" s="25">
        <v>0.7</v>
      </c>
      <c r="D16" s="26">
        <v>0.25</v>
      </c>
      <c r="E16" s="26">
        <v>0.833</v>
      </c>
      <c r="F16" s="26">
        <f t="shared" si="4"/>
        <v>0.2375</v>
      </c>
      <c r="G16" s="26">
        <f t="shared" si="5"/>
        <v>0.237405</v>
      </c>
      <c r="H16" s="26">
        <f t="shared" si="2"/>
        <v>0.237405</v>
      </c>
      <c r="I16" s="26">
        <f t="shared" si="3"/>
        <v>0.237405</v>
      </c>
      <c r="J16" s="27"/>
    </row>
    <row r="17" spans="1:12" ht="13.5">
      <c r="A17" s="17" t="s">
        <v>61</v>
      </c>
      <c r="B17" s="17">
        <v>60</v>
      </c>
      <c r="C17" s="25">
        <v>0.8</v>
      </c>
      <c r="D17" s="26">
        <v>0.3</v>
      </c>
      <c r="E17" s="26">
        <v>1.653</v>
      </c>
      <c r="F17" s="26">
        <f t="shared" si="4"/>
        <v>0.285</v>
      </c>
      <c r="G17" s="26">
        <f t="shared" si="5"/>
        <v>0.3140699999999999</v>
      </c>
      <c r="H17" s="26">
        <f t="shared" si="2"/>
        <v>0.285</v>
      </c>
      <c r="I17" s="26">
        <f t="shared" si="3"/>
        <v>0.285</v>
      </c>
      <c r="J17" s="27" t="s">
        <v>59</v>
      </c>
      <c r="K17" s="28">
        <f>AVERAGE(H17:H18)</f>
        <v>0.3543974999999999</v>
      </c>
      <c r="L17" s="28">
        <f>AVERAGE(I17:I18)</f>
        <v>0.3543974999999999</v>
      </c>
    </row>
    <row r="18" spans="1:10" ht="13.5">
      <c r="A18" s="17" t="s">
        <v>64</v>
      </c>
      <c r="B18" s="17">
        <v>200</v>
      </c>
      <c r="C18" s="25">
        <v>0.9</v>
      </c>
      <c r="D18" s="26">
        <v>0.462</v>
      </c>
      <c r="E18" s="26">
        <v>4.461</v>
      </c>
      <c r="F18" s="26">
        <f t="shared" si="4"/>
        <v>0.4389</v>
      </c>
      <c r="G18" s="26">
        <f t="shared" si="5"/>
        <v>0.42379499999999987</v>
      </c>
      <c r="H18" s="26">
        <f t="shared" si="2"/>
        <v>0.42379499999999987</v>
      </c>
      <c r="I18" s="26">
        <f t="shared" si="3"/>
        <v>0.42379499999999987</v>
      </c>
      <c r="J18" s="27" t="s">
        <v>59</v>
      </c>
    </row>
    <row r="19" spans="1:10" ht="13.5">
      <c r="A19" s="17" t="s">
        <v>72</v>
      </c>
      <c r="B19" s="17">
        <v>200</v>
      </c>
      <c r="C19" s="25">
        <v>0.9</v>
      </c>
      <c r="D19" s="26">
        <v>0.6</v>
      </c>
      <c r="E19" s="26">
        <v>7</v>
      </c>
      <c r="F19" s="26">
        <f t="shared" si="4"/>
        <v>0.57</v>
      </c>
      <c r="G19" s="26">
        <f t="shared" si="5"/>
        <v>0.6649999999999998</v>
      </c>
      <c r="H19" s="26">
        <f t="shared" si="2"/>
        <v>0.57</v>
      </c>
      <c r="I19" s="26">
        <f t="shared" si="3"/>
        <v>0.57</v>
      </c>
      <c r="J19" s="27"/>
    </row>
    <row r="20" spans="1:11" s="43" customFormat="1" ht="13.5">
      <c r="A20" s="37" t="s">
        <v>74</v>
      </c>
      <c r="B20" s="37"/>
      <c r="C20" s="38"/>
      <c r="D20" s="39" t="s">
        <v>79</v>
      </c>
      <c r="E20" s="39"/>
      <c r="F20" s="40"/>
      <c r="G20" s="40"/>
      <c r="H20" s="40"/>
      <c r="I20" s="26"/>
      <c r="J20" s="41"/>
      <c r="K20" s="42"/>
    </row>
    <row r="21" spans="1:11" s="43" customFormat="1" ht="13.5">
      <c r="A21" s="43" t="s">
        <v>62</v>
      </c>
      <c r="B21" s="43">
        <v>2</v>
      </c>
      <c r="C21" s="44">
        <v>0.3</v>
      </c>
      <c r="D21" s="40">
        <v>0.397</v>
      </c>
      <c r="E21" s="40">
        <v>0.411</v>
      </c>
      <c r="F21" s="40">
        <f>D21*G$35</f>
        <v>0.37715</v>
      </c>
      <c r="G21" s="40">
        <f>E21*G$35*(1-MAX(G$36,C21))</f>
        <v>0.273315</v>
      </c>
      <c r="H21" s="40">
        <f t="shared" si="2"/>
        <v>0.273315</v>
      </c>
      <c r="I21" s="26">
        <f t="shared" si="3"/>
        <v>0.273315</v>
      </c>
      <c r="J21" s="45"/>
      <c r="K21" s="46"/>
    </row>
    <row r="22" spans="1:12" s="43" customFormat="1" ht="13.5">
      <c r="A22" s="43" t="s">
        <v>63</v>
      </c>
      <c r="B22" s="43">
        <v>6</v>
      </c>
      <c r="C22" s="44">
        <v>0.6</v>
      </c>
      <c r="D22" s="40">
        <v>0.661</v>
      </c>
      <c r="E22" s="40">
        <v>1.653</v>
      </c>
      <c r="F22" s="40">
        <f>D22*G$35</f>
        <v>0.62795</v>
      </c>
      <c r="G22" s="40">
        <f>E22*G$35*(1-MAX(G$36,C22))</f>
        <v>0.62814</v>
      </c>
      <c r="H22" s="40">
        <f t="shared" si="2"/>
        <v>0.62795</v>
      </c>
      <c r="I22" s="26">
        <f t="shared" si="3"/>
        <v>0.62795</v>
      </c>
      <c r="J22" s="45" t="s">
        <v>59</v>
      </c>
      <c r="K22" s="28">
        <f>AVERAGE(H22:H23)</f>
        <v>0.6688000000000001</v>
      </c>
      <c r="L22" s="28">
        <f>AVERAGE(I22:I23)</f>
        <v>0.6688000000000001</v>
      </c>
    </row>
    <row r="23" spans="1:11" s="43" customFormat="1" ht="13.5">
      <c r="A23" s="43" t="s">
        <v>61</v>
      </c>
      <c r="B23" s="43">
        <v>20</v>
      </c>
      <c r="C23" s="44">
        <v>0.65</v>
      </c>
      <c r="D23" s="40">
        <v>0.747</v>
      </c>
      <c r="E23" s="40">
        <v>2.5</v>
      </c>
      <c r="F23" s="40">
        <f>D23*G$35</f>
        <v>0.70965</v>
      </c>
      <c r="G23" s="40">
        <f>E23*G$35*(1-MAX(G$36,C23))</f>
        <v>0.8312499999999999</v>
      </c>
      <c r="H23" s="40">
        <f t="shared" si="2"/>
        <v>0.70965</v>
      </c>
      <c r="I23" s="26">
        <f t="shared" si="3"/>
        <v>0.70965</v>
      </c>
      <c r="J23" s="45" t="s">
        <v>59</v>
      </c>
      <c r="K23" s="46"/>
    </row>
    <row r="24" spans="1:11" s="16" customFormat="1" ht="13.5">
      <c r="A24" s="16" t="s">
        <v>75</v>
      </c>
      <c r="C24" s="33"/>
      <c r="D24" s="34" t="s">
        <v>78</v>
      </c>
      <c r="E24" s="34"/>
      <c r="F24" s="26"/>
      <c r="G24" s="26"/>
      <c r="H24" s="26"/>
      <c r="I24" s="26"/>
      <c r="J24" s="35"/>
      <c r="K24" s="36"/>
    </row>
    <row r="25" spans="1:10" ht="13.5">
      <c r="A25" s="17" t="s">
        <v>62</v>
      </c>
      <c r="B25" s="70">
        <f>15000/43560</f>
        <v>0.3443526170798898</v>
      </c>
      <c r="C25" s="25">
        <v>0.1</v>
      </c>
      <c r="D25" s="26">
        <v>1.96</v>
      </c>
      <c r="E25" s="26">
        <v>2.13</v>
      </c>
      <c r="F25" s="26">
        <f>D25*G$35</f>
        <v>1.8619999999999999</v>
      </c>
      <c r="G25" s="26">
        <f>E25*G$35*(1-MAX(G$36,C25))</f>
        <v>1.8211499999999998</v>
      </c>
      <c r="H25" s="26">
        <f t="shared" si="2"/>
        <v>1.8211499999999998</v>
      </c>
      <c r="I25" s="26">
        <f t="shared" si="3"/>
        <v>1.8211499999999998</v>
      </c>
      <c r="J25" s="27"/>
    </row>
    <row r="26" spans="1:12" ht="13.5">
      <c r="A26" s="17" t="s">
        <v>63</v>
      </c>
      <c r="B26" s="17">
        <v>5</v>
      </c>
      <c r="C26" s="25">
        <v>0.25</v>
      </c>
      <c r="D26" s="26">
        <v>2.17</v>
      </c>
      <c r="E26" s="26">
        <v>2.9</v>
      </c>
      <c r="F26" s="26">
        <f>D26*G$35</f>
        <v>2.0614999999999997</v>
      </c>
      <c r="G26" s="26">
        <f>E26*G$35*(1-MAX(G$36,C26))</f>
        <v>2.06625</v>
      </c>
      <c r="H26" s="26">
        <f t="shared" si="2"/>
        <v>2.0614999999999997</v>
      </c>
      <c r="I26" s="26">
        <f t="shared" si="3"/>
        <v>2.0614999999999997</v>
      </c>
      <c r="J26" s="27" t="s">
        <v>59</v>
      </c>
      <c r="K26" s="28">
        <f>AVERAGE(H26:H27)</f>
        <v>2.4557499999999997</v>
      </c>
      <c r="L26" s="28">
        <f>AVERAGE(I26:I27)</f>
        <v>2.4557499999999997</v>
      </c>
    </row>
    <row r="27" spans="1:10" ht="13.5">
      <c r="A27" s="17" t="s">
        <v>61</v>
      </c>
      <c r="B27" s="17">
        <v>10</v>
      </c>
      <c r="C27" s="25">
        <v>0.35</v>
      </c>
      <c r="D27" s="26">
        <v>3</v>
      </c>
      <c r="E27" s="26">
        <v>5</v>
      </c>
      <c r="F27" s="26">
        <f>D27*G$35</f>
        <v>2.8499999999999996</v>
      </c>
      <c r="G27" s="26">
        <f>E27*G$35*(1-MAX(G$36,C27))</f>
        <v>3.0875</v>
      </c>
      <c r="H27" s="26">
        <f t="shared" si="2"/>
        <v>2.8499999999999996</v>
      </c>
      <c r="I27" s="26">
        <f t="shared" si="3"/>
        <v>2.8499999999999996</v>
      </c>
      <c r="J27" s="27" t="s">
        <v>59</v>
      </c>
    </row>
    <row r="28" spans="1:11" s="16" customFormat="1" ht="13.5">
      <c r="A28" s="16" t="s">
        <v>76</v>
      </c>
      <c r="C28" s="33"/>
      <c r="D28" s="34" t="s">
        <v>77</v>
      </c>
      <c r="E28" s="34"/>
      <c r="F28" s="26"/>
      <c r="G28" s="26"/>
      <c r="H28" s="26"/>
      <c r="I28" s="26"/>
      <c r="J28" s="35"/>
      <c r="K28" s="36"/>
    </row>
    <row r="29" spans="1:10" ht="13.5">
      <c r="A29" s="17" t="s">
        <v>62</v>
      </c>
      <c r="B29" s="70">
        <f>5000/43560</f>
        <v>0.1147842056932966</v>
      </c>
      <c r="C29" s="25">
        <v>0.1</v>
      </c>
      <c r="D29" s="26">
        <v>4.98</v>
      </c>
      <c r="E29" s="26">
        <v>5.54</v>
      </c>
      <c r="F29" s="26">
        <f>D29*G$35</f>
        <v>4.731</v>
      </c>
      <c r="G29" s="26">
        <f>E29*G$35*(1-MAX(G$36,C29))</f>
        <v>4.7367</v>
      </c>
      <c r="H29" s="26">
        <f t="shared" si="2"/>
        <v>4.731</v>
      </c>
      <c r="I29" s="26">
        <f t="shared" si="3"/>
        <v>4.731</v>
      </c>
      <c r="J29" s="27"/>
    </row>
    <row r="30" spans="1:12" ht="13.5">
      <c r="A30" s="17" t="s">
        <v>61</v>
      </c>
      <c r="B30" s="17">
        <v>2</v>
      </c>
      <c r="C30" s="25">
        <v>0.2</v>
      </c>
      <c r="D30" s="26">
        <v>8</v>
      </c>
      <c r="E30" s="26">
        <v>13</v>
      </c>
      <c r="F30" s="26">
        <f>D30*G$35</f>
        <v>7.6</v>
      </c>
      <c r="G30" s="26">
        <f>E30*G$35*(1-MAX(G$36,C30))</f>
        <v>9.88</v>
      </c>
      <c r="H30" s="26">
        <f t="shared" si="2"/>
        <v>7.6</v>
      </c>
      <c r="I30" s="26">
        <f t="shared" si="3"/>
        <v>7.6</v>
      </c>
      <c r="J30" s="27" t="s">
        <v>59</v>
      </c>
      <c r="K30" s="28">
        <f>AVERAGE(H30:H31)</f>
        <v>12.349999999999998</v>
      </c>
      <c r="L30" s="28">
        <f>AVERAGE(I30:I31)</f>
        <v>4.3</v>
      </c>
    </row>
    <row r="31" spans="1:10" ht="13.5">
      <c r="A31" s="17" t="s">
        <v>60</v>
      </c>
      <c r="B31" s="17">
        <v>3</v>
      </c>
      <c r="C31" s="25">
        <v>0.2</v>
      </c>
      <c r="D31" s="26">
        <v>18</v>
      </c>
      <c r="E31" s="26">
        <v>26</v>
      </c>
      <c r="F31" s="26">
        <f>D31*G$35</f>
        <v>17.099999999999998</v>
      </c>
      <c r="G31" s="26">
        <f>E31*G$35*(1-MAX(G$36,C31))</f>
        <v>19.76</v>
      </c>
      <c r="H31" s="26">
        <f t="shared" si="2"/>
        <v>17.099999999999998</v>
      </c>
      <c r="I31" s="26">
        <v>1</v>
      </c>
      <c r="J31" s="27" t="s">
        <v>59</v>
      </c>
    </row>
    <row r="32" spans="3:10" ht="13.5">
      <c r="C32" s="25"/>
      <c r="D32" s="26"/>
      <c r="E32" s="26"/>
      <c r="F32" s="26"/>
      <c r="G32" s="26"/>
      <c r="H32" s="26"/>
      <c r="J32" s="27"/>
    </row>
    <row r="33" spans="1:11" s="27" customFormat="1" ht="41.25">
      <c r="A33" s="116" t="s">
        <v>179</v>
      </c>
      <c r="B33" s="27" t="s">
        <v>180</v>
      </c>
      <c r="C33" s="27" t="s">
        <v>180</v>
      </c>
      <c r="D33" s="27" t="s">
        <v>180</v>
      </c>
      <c r="E33" s="27" t="s">
        <v>180</v>
      </c>
      <c r="F33" s="27" t="s">
        <v>181</v>
      </c>
      <c r="G33" s="27" t="s">
        <v>181</v>
      </c>
      <c r="H33" s="27" t="s">
        <v>181</v>
      </c>
      <c r="I33" s="49" t="s">
        <v>182</v>
      </c>
      <c r="J33" s="27" t="s">
        <v>83</v>
      </c>
      <c r="K33" s="50" t="s">
        <v>83</v>
      </c>
    </row>
    <row r="34" spans="3:10" ht="13.5">
      <c r="C34" s="25"/>
      <c r="D34" s="26"/>
      <c r="E34" s="26"/>
      <c r="F34" s="26"/>
      <c r="G34" s="26"/>
      <c r="H34" s="26"/>
      <c r="J34" s="27"/>
    </row>
    <row r="35" spans="1:7" ht="13.5">
      <c r="A35" s="17" t="s">
        <v>85</v>
      </c>
      <c r="C35" s="25"/>
      <c r="D35" s="26"/>
      <c r="E35" s="26"/>
      <c r="F35" s="26"/>
      <c r="G35" s="25">
        <v>0.95</v>
      </c>
    </row>
    <row r="36" spans="1:8" ht="13.5">
      <c r="A36" s="17" t="s">
        <v>86</v>
      </c>
      <c r="C36" s="25"/>
      <c r="D36" s="26"/>
      <c r="E36" s="26"/>
      <c r="F36" s="26"/>
      <c r="G36" s="48">
        <v>0.1</v>
      </c>
      <c r="H36" s="26"/>
    </row>
    <row r="37" spans="1:10" ht="13.5">
      <c r="A37" s="17" t="s">
        <v>84</v>
      </c>
      <c r="C37" s="25"/>
      <c r="D37" s="26"/>
      <c r="E37" s="26"/>
      <c r="F37" s="26"/>
      <c r="G37" s="26"/>
      <c r="H37" s="26"/>
      <c r="J37" s="27"/>
    </row>
    <row r="38" spans="3:10" ht="13.5">
      <c r="C38" s="25"/>
      <c r="D38" s="26"/>
      <c r="E38" s="26"/>
      <c r="F38" s="26"/>
      <c r="G38" s="26"/>
      <c r="H38" s="26"/>
      <c r="J38" s="27"/>
    </row>
    <row r="39" spans="3:10" ht="13.5">
      <c r="C39" s="25"/>
      <c r="D39" s="26"/>
      <c r="E39" s="26"/>
      <c r="F39" s="26"/>
      <c r="G39" s="26"/>
      <c r="H39" s="26"/>
      <c r="J39" s="27"/>
    </row>
    <row r="40" spans="3:10" ht="13.5">
      <c r="C40" s="25"/>
      <c r="D40" s="26"/>
      <c r="E40" s="26"/>
      <c r="F40" s="26"/>
      <c r="G40" s="26"/>
      <c r="H40" s="26"/>
      <c r="J40" s="27"/>
    </row>
  </sheetData>
  <mergeCells count="1">
    <mergeCell ref="A2:L2"/>
  </mergeCells>
  <printOptions/>
  <pageMargins left="0.5" right="0.25" top="1" bottom="1" header="0.5" footer="0.5"/>
  <pageSetup fitToHeight="1" fitToWidth="1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20" customWidth="1"/>
    <col min="2" max="2" width="8.8515625" style="20" customWidth="1"/>
    <col min="3" max="3" width="9.00390625" style="20" customWidth="1"/>
    <col min="4" max="16384" width="8.8515625" style="20" customWidth="1"/>
  </cols>
  <sheetData>
    <row r="1" ht="12.75">
      <c r="A1" s="19" t="s">
        <v>164</v>
      </c>
    </row>
    <row r="2" ht="12.75">
      <c r="A2" s="21"/>
    </row>
    <row r="3" ht="12.75">
      <c r="A3" s="22" t="s">
        <v>4</v>
      </c>
    </row>
    <row r="4" spans="1:11" ht="12.75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</row>
    <row r="5" spans="1:11" ht="12.75">
      <c r="A5" s="20" t="s">
        <v>16</v>
      </c>
      <c r="B5" s="20" t="s">
        <v>17</v>
      </c>
      <c r="C5" s="20">
        <v>1045</v>
      </c>
      <c r="D5" s="20">
        <v>1045</v>
      </c>
      <c r="E5" s="20">
        <v>1048</v>
      </c>
      <c r="F5" s="20">
        <v>1058</v>
      </c>
      <c r="G5" s="20">
        <v>1073</v>
      </c>
      <c r="H5" s="20">
        <v>1075</v>
      </c>
      <c r="I5" s="20">
        <v>1067</v>
      </c>
      <c r="J5" s="20">
        <v>1079</v>
      </c>
      <c r="K5" s="20">
        <v>1087</v>
      </c>
    </row>
    <row r="6" spans="1:11" ht="12.75">
      <c r="A6" s="20" t="s">
        <v>18</v>
      </c>
      <c r="B6" s="20" t="s">
        <v>17</v>
      </c>
      <c r="C6" s="20">
        <v>2907</v>
      </c>
      <c r="D6" s="20">
        <v>2977</v>
      </c>
      <c r="E6" s="20">
        <v>3002</v>
      </c>
      <c r="F6" s="20">
        <v>3099</v>
      </c>
      <c r="G6" s="20">
        <v>3220</v>
      </c>
      <c r="H6" s="20">
        <v>3270</v>
      </c>
      <c r="I6" s="20">
        <v>3403</v>
      </c>
      <c r="J6" s="20">
        <v>3699</v>
      </c>
      <c r="K6" s="20">
        <v>3869</v>
      </c>
    </row>
    <row r="7" spans="1:11" ht="12.75">
      <c r="A7" s="20" t="s">
        <v>19</v>
      </c>
      <c r="B7" s="20" t="s">
        <v>17</v>
      </c>
      <c r="C7" s="20">
        <v>307</v>
      </c>
      <c r="D7" s="20">
        <v>307</v>
      </c>
      <c r="E7" s="20">
        <v>307</v>
      </c>
      <c r="F7" s="20">
        <v>307</v>
      </c>
      <c r="G7" s="20">
        <v>308</v>
      </c>
      <c r="H7" s="20">
        <v>308</v>
      </c>
      <c r="I7" s="20">
        <v>308</v>
      </c>
      <c r="J7" s="20">
        <v>313</v>
      </c>
      <c r="K7" s="20">
        <v>318</v>
      </c>
    </row>
    <row r="8" spans="1:11" ht="12.75">
      <c r="A8" s="20" t="s">
        <v>20</v>
      </c>
      <c r="B8" s="20" t="s">
        <v>17</v>
      </c>
      <c r="C8" s="20">
        <v>2951</v>
      </c>
      <c r="D8" s="20">
        <v>3271</v>
      </c>
      <c r="E8" s="20">
        <v>3272</v>
      </c>
      <c r="F8" s="20">
        <v>3269</v>
      </c>
      <c r="G8" s="20">
        <v>3375</v>
      </c>
      <c r="H8" s="20">
        <v>3589</v>
      </c>
      <c r="I8" s="20">
        <v>3631</v>
      </c>
      <c r="J8" s="20">
        <v>3743</v>
      </c>
      <c r="K8" s="20">
        <v>3957</v>
      </c>
    </row>
    <row r="9" spans="1:11" ht="12.75">
      <c r="A9" s="20" t="s">
        <v>21</v>
      </c>
      <c r="B9" s="20" t="s">
        <v>17</v>
      </c>
      <c r="C9" s="20">
        <v>803</v>
      </c>
      <c r="D9" s="20">
        <v>1202</v>
      </c>
      <c r="E9" s="20">
        <v>1201</v>
      </c>
      <c r="F9" s="20">
        <v>1212</v>
      </c>
      <c r="G9" s="20">
        <v>1155</v>
      </c>
      <c r="H9" s="20">
        <v>1158</v>
      </c>
      <c r="I9" s="20">
        <v>1152</v>
      </c>
      <c r="J9" s="20">
        <v>1172</v>
      </c>
      <c r="K9" s="20">
        <v>1172</v>
      </c>
    </row>
    <row r="10" spans="1:11" ht="12.75">
      <c r="A10" s="19" t="s">
        <v>22</v>
      </c>
      <c r="C10" s="20">
        <f>SUM(C5:C9)</f>
        <v>8013</v>
      </c>
      <c r="D10" s="20">
        <f aca="true" t="shared" si="0" ref="D10:K10">SUM(D5:D9)</f>
        <v>8802</v>
      </c>
      <c r="E10" s="20">
        <f t="shared" si="0"/>
        <v>8830</v>
      </c>
      <c r="F10" s="20">
        <f t="shared" si="0"/>
        <v>8945</v>
      </c>
      <c r="G10" s="20">
        <f t="shared" si="0"/>
        <v>9131</v>
      </c>
      <c r="H10" s="20">
        <f t="shared" si="0"/>
        <v>9400</v>
      </c>
      <c r="I10" s="20">
        <f t="shared" si="0"/>
        <v>9561</v>
      </c>
      <c r="J10" s="20">
        <f t="shared" si="0"/>
        <v>10006</v>
      </c>
      <c r="K10" s="20">
        <f t="shared" si="0"/>
        <v>10403</v>
      </c>
    </row>
    <row r="12" ht="12.75">
      <c r="A12" s="20" t="s">
        <v>23</v>
      </c>
    </row>
    <row r="13" spans="1:11" ht="12.75">
      <c r="A13" s="20" t="s">
        <v>24</v>
      </c>
      <c r="B13" s="20" t="s">
        <v>25</v>
      </c>
      <c r="D13" s="20" t="s">
        <v>26</v>
      </c>
      <c r="E13" s="20" t="s">
        <v>27</v>
      </c>
      <c r="F13" s="20" t="s">
        <v>28</v>
      </c>
      <c r="G13" s="20" t="s">
        <v>29</v>
      </c>
      <c r="H13" s="20" t="s">
        <v>30</v>
      </c>
      <c r="I13" s="20" t="s">
        <v>31</v>
      </c>
      <c r="J13" s="20" t="s">
        <v>32</v>
      </c>
      <c r="K13" s="20" t="s">
        <v>33</v>
      </c>
    </row>
    <row r="14" spans="1:11" ht="12.75">
      <c r="A14" s="19" t="s">
        <v>34</v>
      </c>
      <c r="B14" s="20" t="s">
        <v>17</v>
      </c>
      <c r="D14" s="20">
        <v>42190</v>
      </c>
      <c r="E14" s="20">
        <v>42451</v>
      </c>
      <c r="F14" s="20">
        <v>43435</v>
      </c>
      <c r="G14" s="20">
        <v>44943</v>
      </c>
      <c r="H14" s="20">
        <v>46315</v>
      </c>
      <c r="I14" s="20">
        <v>47557</v>
      </c>
      <c r="J14" s="20">
        <v>49160</v>
      </c>
      <c r="K14" s="20">
        <v>50443</v>
      </c>
    </row>
    <row r="17" ht="12.75">
      <c r="A17" s="19" t="s">
        <v>165</v>
      </c>
    </row>
    <row r="19" spans="1:11" ht="41.25" customHeight="1">
      <c r="A19" s="164" t="s">
        <v>35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ht="12.75">
      <c r="C20" s="20" t="s">
        <v>36</v>
      </c>
    </row>
    <row r="21" spans="1:3" ht="12.75">
      <c r="A21" s="20" t="s">
        <v>37</v>
      </c>
      <c r="C21" s="20">
        <v>519</v>
      </c>
    </row>
    <row r="22" spans="1:3" ht="12.75">
      <c r="A22" s="20" t="s">
        <v>38</v>
      </c>
      <c r="C22" s="20">
        <v>1396</v>
      </c>
    </row>
    <row r="23" spans="1:3" ht="12.75">
      <c r="A23" s="20" t="s">
        <v>39</v>
      </c>
      <c r="C23" s="20">
        <v>1279</v>
      </c>
    </row>
    <row r="24" spans="1:3" ht="12.75">
      <c r="A24" s="20" t="s">
        <v>40</v>
      </c>
      <c r="C24" s="20">
        <v>189</v>
      </c>
    </row>
    <row r="25" spans="1:3" ht="12.75">
      <c r="A25" s="20" t="s">
        <v>41</v>
      </c>
      <c r="C25" s="20">
        <v>454</v>
      </c>
    </row>
    <row r="26" spans="1:11" ht="12.75">
      <c r="A26" s="19" t="s">
        <v>22</v>
      </c>
      <c r="C26" s="20">
        <f>SUM(C21:C25)</f>
        <v>3837</v>
      </c>
      <c r="D26" s="51">
        <f>D10/$C27</f>
        <v>4214.81018345189</v>
      </c>
      <c r="E26" s="51">
        <f aca="true" t="shared" si="1" ref="E26:K26">E10/$C27</f>
        <v>4228.2178959191315</v>
      </c>
      <c r="F26" s="51">
        <f t="shared" si="1"/>
        <v>4283.285286409584</v>
      </c>
      <c r="G26" s="51">
        <f t="shared" si="1"/>
        <v>4372.350804941969</v>
      </c>
      <c r="H26" s="51">
        <f t="shared" si="1"/>
        <v>4501.160614002246</v>
      </c>
      <c r="I26" s="51">
        <f t="shared" si="1"/>
        <v>4578.254960688881</v>
      </c>
      <c r="J26" s="51">
        <f t="shared" si="1"/>
        <v>4791.341819543242</v>
      </c>
      <c r="K26" s="51">
        <f t="shared" si="1"/>
        <v>4981.444028453762</v>
      </c>
    </row>
    <row r="27" spans="1:3" ht="12.75">
      <c r="A27" s="20" t="s">
        <v>96</v>
      </c>
      <c r="C27" s="20">
        <f>C10/C26</f>
        <v>2.0883502736512902</v>
      </c>
    </row>
    <row r="29" ht="12.75">
      <c r="A29" s="20" t="s">
        <v>42</v>
      </c>
    </row>
    <row r="30" spans="1:11" ht="12.75">
      <c r="A30" s="20" t="s">
        <v>43</v>
      </c>
      <c r="C30" s="20" t="s">
        <v>44</v>
      </c>
      <c r="D30" s="20" t="s">
        <v>45</v>
      </c>
      <c r="E30" s="20" t="s">
        <v>46</v>
      </c>
      <c r="F30" s="20" t="s">
        <v>47</v>
      </c>
      <c r="G30" s="20" t="s">
        <v>48</v>
      </c>
      <c r="H30" s="20" t="s">
        <v>49</v>
      </c>
      <c r="I30" s="20" t="s">
        <v>50</v>
      </c>
      <c r="J30" s="20" t="s">
        <v>51</v>
      </c>
      <c r="K30" s="20" t="s">
        <v>52</v>
      </c>
    </row>
    <row r="31" spans="1:11" ht="12.75">
      <c r="A31" s="19" t="s">
        <v>34</v>
      </c>
      <c r="C31" s="20">
        <v>17623</v>
      </c>
      <c r="D31" s="20">
        <v>17623</v>
      </c>
      <c r="E31" s="20">
        <v>17743</v>
      </c>
      <c r="F31" s="20">
        <v>18218</v>
      </c>
      <c r="G31" s="20">
        <v>18739</v>
      </c>
      <c r="H31" s="20">
        <v>19381</v>
      </c>
      <c r="I31" s="20">
        <v>20144</v>
      </c>
      <c r="J31" s="20">
        <v>20644</v>
      </c>
      <c r="K31" s="20">
        <v>21124</v>
      </c>
    </row>
    <row r="32" spans="1:11" ht="12.75">
      <c r="A32" s="20" t="s">
        <v>96</v>
      </c>
      <c r="D32" s="20">
        <f>D14/D31</f>
        <v>2.3940305282868977</v>
      </c>
      <c r="E32" s="20">
        <f aca="true" t="shared" si="2" ref="E32:K32">E14/E31</f>
        <v>2.392549174322268</v>
      </c>
      <c r="F32" s="20">
        <f t="shared" si="2"/>
        <v>2.3841804808431224</v>
      </c>
      <c r="G32" s="20">
        <f t="shared" si="2"/>
        <v>2.398367041997972</v>
      </c>
      <c r="H32" s="20">
        <f t="shared" si="2"/>
        <v>2.389711573190238</v>
      </c>
      <c r="I32" s="20">
        <f t="shared" si="2"/>
        <v>2.3608518665607625</v>
      </c>
      <c r="J32" s="20">
        <f t="shared" si="2"/>
        <v>2.381321449331525</v>
      </c>
      <c r="K32" s="20">
        <f t="shared" si="2"/>
        <v>2.3879473584548383</v>
      </c>
    </row>
    <row r="33" spans="1:11" ht="12.75">
      <c r="A33" s="20" t="s">
        <v>97</v>
      </c>
      <c r="D33" s="20">
        <f>(D14-D10)/(D31-D26)</f>
        <v>2.490119878732118</v>
      </c>
      <c r="E33" s="20">
        <f aca="true" t="shared" si="3" ref="E33:K33">(E14-E10)/(E31-E26)</f>
        <v>2.487720463495149</v>
      </c>
      <c r="F33" s="20">
        <f t="shared" si="3"/>
        <v>2.4751134636694196</v>
      </c>
      <c r="G33" s="20">
        <f t="shared" si="3"/>
        <v>2.4927176486162783</v>
      </c>
      <c r="H33" s="20">
        <f t="shared" si="3"/>
        <v>2.4808735526230072</v>
      </c>
      <c r="I33" s="20">
        <f t="shared" si="3"/>
        <v>2.4410010509642497</v>
      </c>
      <c r="J33" s="20">
        <f t="shared" si="3"/>
        <v>2.4698696934164177</v>
      </c>
      <c r="K33" s="20">
        <f t="shared" si="3"/>
        <v>2.4804002582104543</v>
      </c>
    </row>
  </sheetData>
  <mergeCells count="1">
    <mergeCell ref="A19:K19"/>
  </mergeCells>
  <printOptions/>
  <pageMargins left="0.5" right="0.5" top="1" bottom="1" header="0.5" footer="0.5"/>
  <pageSetup fitToHeight="1" fitToWidth="1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8.8515625" style="111" customWidth="1"/>
    <col min="4" max="4" width="12.00390625" style="111" customWidth="1"/>
  </cols>
  <sheetData>
    <row r="1" ht="15.75">
      <c r="A1" s="109" t="s">
        <v>171</v>
      </c>
    </row>
    <row r="2" spans="1:4" s="112" customFormat="1" ht="66" customHeight="1">
      <c r="A2" s="113" t="s">
        <v>168</v>
      </c>
      <c r="B2" s="113" t="s">
        <v>169</v>
      </c>
      <c r="C2" s="114" t="s">
        <v>170</v>
      </c>
      <c r="D2" s="114" t="s">
        <v>172</v>
      </c>
    </row>
    <row r="3" spans="1:2" ht="12.75">
      <c r="A3">
        <v>1970</v>
      </c>
      <c r="B3">
        <v>21280</v>
      </c>
    </row>
    <row r="4" spans="1:3" ht="12.75">
      <c r="A4">
        <v>1971</v>
      </c>
      <c r="B4">
        <v>21500</v>
      </c>
      <c r="C4" s="111">
        <f>B4/B3-1</f>
        <v>0.010338345864661758</v>
      </c>
    </row>
    <row r="5" spans="1:3" ht="12.75">
      <c r="A5">
        <v>1972</v>
      </c>
      <c r="B5">
        <v>23000</v>
      </c>
      <c r="C5" s="111">
        <f aca="true" t="shared" si="0" ref="C5:C39">B5/B4-1</f>
        <v>0.06976744186046502</v>
      </c>
    </row>
    <row r="6" spans="1:3" ht="12.75">
      <c r="A6">
        <v>1973</v>
      </c>
      <c r="B6">
        <v>24000</v>
      </c>
      <c r="C6" s="111">
        <f t="shared" si="0"/>
        <v>0.04347826086956519</v>
      </c>
    </row>
    <row r="7" spans="1:3" ht="12.75">
      <c r="A7">
        <v>1974</v>
      </c>
      <c r="B7">
        <v>24700</v>
      </c>
      <c r="C7" s="111">
        <f t="shared" si="0"/>
        <v>0.029166666666666563</v>
      </c>
    </row>
    <row r="8" spans="1:3" ht="12.75">
      <c r="A8">
        <v>1975</v>
      </c>
      <c r="B8">
        <v>25200</v>
      </c>
      <c r="C8" s="111">
        <f t="shared" si="0"/>
        <v>0.020242914979757165</v>
      </c>
    </row>
    <row r="9" spans="1:3" ht="12.75">
      <c r="A9">
        <v>1976</v>
      </c>
      <c r="B9">
        <v>25900</v>
      </c>
      <c r="C9" s="111">
        <f t="shared" si="0"/>
        <v>0.02777777777777768</v>
      </c>
    </row>
    <row r="10" spans="1:3" ht="12.75">
      <c r="A10">
        <v>1977</v>
      </c>
      <c r="B10">
        <v>27100</v>
      </c>
      <c r="C10" s="111">
        <f t="shared" si="0"/>
        <v>0.04633204633204624</v>
      </c>
    </row>
    <row r="11" spans="1:3" ht="12.75">
      <c r="A11">
        <v>1978</v>
      </c>
      <c r="B11">
        <v>27600</v>
      </c>
      <c r="C11" s="111">
        <f t="shared" si="0"/>
        <v>0.01845018450184499</v>
      </c>
    </row>
    <row r="12" spans="1:3" ht="12.75">
      <c r="A12">
        <v>1979</v>
      </c>
      <c r="B12">
        <v>29000</v>
      </c>
      <c r="C12" s="111">
        <f t="shared" si="0"/>
        <v>0.050724637681159424</v>
      </c>
    </row>
    <row r="13" spans="1:4" ht="12.75">
      <c r="A13">
        <v>1980</v>
      </c>
      <c r="B13">
        <v>30302</v>
      </c>
      <c r="C13" s="111">
        <f t="shared" si="0"/>
        <v>0.04489655172413798</v>
      </c>
      <c r="D13" s="111">
        <f>(B13/B3)^0.1-1</f>
        <v>0.03597665028299324</v>
      </c>
    </row>
    <row r="14" spans="1:3" ht="12.75">
      <c r="A14">
        <v>1981</v>
      </c>
      <c r="B14">
        <v>30937</v>
      </c>
      <c r="C14" s="111">
        <f t="shared" si="0"/>
        <v>0.020955712494224787</v>
      </c>
    </row>
    <row r="15" spans="1:3" ht="12.75">
      <c r="A15">
        <v>1982</v>
      </c>
      <c r="B15">
        <v>31147</v>
      </c>
      <c r="C15" s="111">
        <f t="shared" si="0"/>
        <v>0.006787988492743313</v>
      </c>
    </row>
    <row r="16" spans="1:3" ht="12.75">
      <c r="A16">
        <v>1983</v>
      </c>
      <c r="B16">
        <v>31338</v>
      </c>
      <c r="C16" s="111">
        <f t="shared" si="0"/>
        <v>0.0061322117699937895</v>
      </c>
    </row>
    <row r="17" spans="1:3" ht="12.75">
      <c r="A17">
        <v>1984</v>
      </c>
      <c r="B17">
        <v>31821</v>
      </c>
      <c r="C17" s="111">
        <f t="shared" si="0"/>
        <v>0.015412598123683674</v>
      </c>
    </row>
    <row r="18" spans="1:3" ht="12.75">
      <c r="A18">
        <v>1985</v>
      </c>
      <c r="B18">
        <v>32352</v>
      </c>
      <c r="C18" s="111">
        <f t="shared" si="0"/>
        <v>0.01668709342886765</v>
      </c>
    </row>
    <row r="19" spans="1:3" ht="12.75">
      <c r="A19">
        <v>1986</v>
      </c>
      <c r="B19">
        <v>33249</v>
      </c>
      <c r="C19" s="111">
        <f t="shared" si="0"/>
        <v>0.027726261127596352</v>
      </c>
    </row>
    <row r="20" spans="1:3" ht="12.75">
      <c r="A20">
        <v>1987</v>
      </c>
      <c r="B20">
        <v>33894</v>
      </c>
      <c r="C20" s="111">
        <f t="shared" si="0"/>
        <v>0.019399079671569064</v>
      </c>
    </row>
    <row r="21" spans="1:3" ht="12.75">
      <c r="A21">
        <v>1988</v>
      </c>
      <c r="B21">
        <v>34704</v>
      </c>
      <c r="C21" s="111">
        <f t="shared" si="0"/>
        <v>0.023898035050451405</v>
      </c>
    </row>
    <row r="22" spans="1:3" ht="12.75">
      <c r="A22">
        <v>1989</v>
      </c>
      <c r="B22">
        <v>35250</v>
      </c>
      <c r="C22" s="111">
        <f t="shared" si="0"/>
        <v>0.015733056708160387</v>
      </c>
    </row>
    <row r="23" spans="1:4" ht="12.75">
      <c r="A23">
        <v>1990</v>
      </c>
      <c r="B23">
        <v>35926</v>
      </c>
      <c r="C23" s="111">
        <f t="shared" si="0"/>
        <v>0.019177304964538955</v>
      </c>
      <c r="D23" s="111">
        <f>(B23/B13)^0.1-1</f>
        <v>0.017170502110958274</v>
      </c>
    </row>
    <row r="24" spans="1:3" ht="12.75">
      <c r="A24">
        <v>1991</v>
      </c>
      <c r="B24">
        <v>36657</v>
      </c>
      <c r="C24" s="111">
        <f t="shared" si="0"/>
        <v>0.020347380727050002</v>
      </c>
    </row>
    <row r="25" spans="1:3" ht="12.75">
      <c r="A25">
        <v>1992</v>
      </c>
      <c r="B25">
        <v>37366</v>
      </c>
      <c r="C25" s="111">
        <f t="shared" si="0"/>
        <v>0.01934146274927029</v>
      </c>
    </row>
    <row r="26" spans="1:3" ht="12.75">
      <c r="A26">
        <v>1993</v>
      </c>
      <c r="B26">
        <v>38116</v>
      </c>
      <c r="C26" s="111">
        <f t="shared" si="0"/>
        <v>0.02007172295669868</v>
      </c>
    </row>
    <row r="27" spans="1:3" ht="12.75">
      <c r="A27">
        <v>1994</v>
      </c>
      <c r="B27">
        <v>38776</v>
      </c>
      <c r="C27" s="111">
        <f t="shared" si="0"/>
        <v>0.017315563018155178</v>
      </c>
    </row>
    <row r="28" spans="1:3" ht="12.75">
      <c r="A28">
        <v>1995</v>
      </c>
      <c r="B28">
        <v>39241</v>
      </c>
      <c r="C28" s="111">
        <f t="shared" si="0"/>
        <v>0.011991953785846832</v>
      </c>
    </row>
    <row r="29" spans="1:3" ht="12.75">
      <c r="A29">
        <v>1996</v>
      </c>
      <c r="B29">
        <v>39687</v>
      </c>
      <c r="C29" s="111">
        <f t="shared" si="0"/>
        <v>0.011365663464233844</v>
      </c>
    </row>
    <row r="30" spans="1:3" ht="12.75">
      <c r="A30">
        <v>1997</v>
      </c>
      <c r="B30">
        <v>40182</v>
      </c>
      <c r="C30" s="111">
        <f t="shared" si="0"/>
        <v>0.012472598079975805</v>
      </c>
    </row>
    <row r="31" spans="1:3" ht="12.75">
      <c r="A31">
        <v>1998</v>
      </c>
      <c r="B31">
        <v>40769</v>
      </c>
      <c r="C31" s="111">
        <f t="shared" si="0"/>
        <v>0.01460853118311678</v>
      </c>
    </row>
    <row r="32" spans="1:3" ht="12.75">
      <c r="A32">
        <v>1999</v>
      </c>
      <c r="B32">
        <v>41553</v>
      </c>
      <c r="C32" s="111">
        <f t="shared" si="0"/>
        <v>0.019230297529986062</v>
      </c>
    </row>
    <row r="33" spans="1:4" ht="12.75">
      <c r="A33">
        <v>2000</v>
      </c>
      <c r="B33">
        <v>42190</v>
      </c>
      <c r="C33" s="111">
        <f t="shared" si="0"/>
        <v>0.015329819748273188</v>
      </c>
      <c r="D33" s="111">
        <f>(B33/B23)^0.1-1</f>
        <v>0.01620204835789396</v>
      </c>
    </row>
    <row r="34" spans="1:3" ht="12.75">
      <c r="A34">
        <v>2001</v>
      </c>
      <c r="B34">
        <v>43435</v>
      </c>
      <c r="C34" s="111">
        <f t="shared" si="0"/>
        <v>0.029509362408153494</v>
      </c>
    </row>
    <row r="35" spans="1:3" ht="12.75">
      <c r="A35">
        <v>2002</v>
      </c>
      <c r="B35">
        <v>44943</v>
      </c>
      <c r="C35" s="111">
        <f t="shared" si="0"/>
        <v>0.03471854495222737</v>
      </c>
    </row>
    <row r="36" spans="1:3" ht="12.75">
      <c r="A36">
        <v>2003</v>
      </c>
      <c r="B36">
        <v>46315</v>
      </c>
      <c r="C36" s="111">
        <f t="shared" si="0"/>
        <v>0.03052755712791755</v>
      </c>
    </row>
    <row r="37" spans="1:3" ht="12.75">
      <c r="A37">
        <v>2004</v>
      </c>
      <c r="B37">
        <v>47557</v>
      </c>
      <c r="C37" s="111">
        <f t="shared" si="0"/>
        <v>0.026816366188060048</v>
      </c>
    </row>
    <row r="38" spans="1:3" ht="12.75">
      <c r="A38">
        <v>2005</v>
      </c>
      <c r="B38">
        <v>49160</v>
      </c>
      <c r="C38" s="111">
        <f t="shared" si="0"/>
        <v>0.03370692011691223</v>
      </c>
    </row>
    <row r="39" spans="1:4" ht="12.75">
      <c r="A39">
        <v>2006</v>
      </c>
      <c r="B39">
        <v>50443</v>
      </c>
      <c r="C39" s="111">
        <f t="shared" si="0"/>
        <v>0.026098454027664753</v>
      </c>
      <c r="D39" s="111">
        <f>(B39/B33)^(1/7)-1</f>
        <v>0.025851465381920846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5.57421875" style="0" customWidth="1"/>
    <col min="4" max="4" width="6.140625" style="0" customWidth="1"/>
    <col min="5" max="5" width="7.421875" style="0" customWidth="1"/>
    <col min="6" max="6" width="9.421875" style="0" customWidth="1"/>
    <col min="7" max="7" width="6.140625" style="0" customWidth="1"/>
    <col min="8" max="8" width="8.140625" style="0" customWidth="1"/>
    <col min="9" max="9" width="10.28125" style="0" customWidth="1"/>
    <col min="10" max="10" width="6.7109375" style="0" customWidth="1"/>
    <col min="12" max="12" width="4.7109375" style="0" customWidth="1"/>
    <col min="13" max="13" width="5.7109375" style="0" customWidth="1"/>
  </cols>
  <sheetData>
    <row r="1" ht="15.75">
      <c r="A1" s="109" t="s">
        <v>166</v>
      </c>
    </row>
    <row r="2" spans="1:13" ht="96.75" customHeight="1">
      <c r="A2" s="71" t="s">
        <v>108</v>
      </c>
      <c r="B2" s="72" t="s">
        <v>109</v>
      </c>
      <c r="C2" s="71" t="s">
        <v>110</v>
      </c>
      <c r="D2" s="72" t="s">
        <v>111</v>
      </c>
      <c r="E2" s="72" t="s">
        <v>142</v>
      </c>
      <c r="F2" s="72" t="s">
        <v>149</v>
      </c>
      <c r="G2" s="72" t="s">
        <v>143</v>
      </c>
      <c r="H2" s="72" t="s">
        <v>112</v>
      </c>
      <c r="I2" s="72" t="s">
        <v>150</v>
      </c>
      <c r="J2" s="72" t="s">
        <v>113</v>
      </c>
      <c r="K2" s="72" t="s">
        <v>126</v>
      </c>
      <c r="L2" s="72" t="s">
        <v>114</v>
      </c>
      <c r="M2" s="72" t="s">
        <v>115</v>
      </c>
    </row>
    <row r="3" spans="1:13" ht="13.5">
      <c r="A3" s="17"/>
      <c r="B3" s="73"/>
      <c r="C3" s="17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3.5">
      <c r="A4" s="17" t="s">
        <v>116</v>
      </c>
      <c r="B4" s="73">
        <f>INT(D4*H4/2)*2</f>
        <v>70</v>
      </c>
      <c r="C4" s="17" t="s">
        <v>144</v>
      </c>
      <c r="D4" s="73">
        <f>SUM(J4:J5)</f>
        <v>194.39</v>
      </c>
      <c r="E4" s="73">
        <v>0.191</v>
      </c>
      <c r="F4" s="84">
        <f>densities!G$35</f>
        <v>0.95</v>
      </c>
      <c r="G4" s="73">
        <v>1</v>
      </c>
      <c r="H4" s="73">
        <f>E4*F4*(1+G4)</f>
        <v>0.3629</v>
      </c>
      <c r="I4" s="84">
        <v>0.9</v>
      </c>
      <c r="J4" s="73">
        <v>194.39</v>
      </c>
      <c r="K4" s="47" t="s">
        <v>117</v>
      </c>
      <c r="L4" s="73">
        <v>12</v>
      </c>
      <c r="M4" s="73">
        <v>17</v>
      </c>
    </row>
    <row r="5" spans="1:13" ht="13.5">
      <c r="A5" s="17"/>
      <c r="B5" s="73"/>
      <c r="C5" s="17"/>
      <c r="D5" s="73"/>
      <c r="E5" s="73"/>
      <c r="F5" s="73"/>
      <c r="G5" s="73"/>
      <c r="H5" s="73"/>
      <c r="I5" s="73"/>
      <c r="J5" s="73"/>
      <c r="K5" s="47"/>
      <c r="L5" s="73"/>
      <c r="M5" s="73"/>
    </row>
    <row r="6" spans="1:13" ht="13.5">
      <c r="A6" s="17" t="s">
        <v>118</v>
      </c>
      <c r="B6" s="73">
        <f>INT(D6*H6/2)*2</f>
        <v>66</v>
      </c>
      <c r="C6" s="17" t="s">
        <v>144</v>
      </c>
      <c r="D6" s="73">
        <f>SUM(J6:J9)</f>
        <v>185.8</v>
      </c>
      <c r="E6" s="73">
        <v>0.191</v>
      </c>
      <c r="F6" s="84">
        <f>F$4</f>
        <v>0.95</v>
      </c>
      <c r="G6" s="73">
        <v>1</v>
      </c>
      <c r="H6" s="73">
        <f>E6*F6*(1+G6)</f>
        <v>0.3629</v>
      </c>
      <c r="I6" s="84">
        <v>0.9</v>
      </c>
      <c r="J6" s="73">
        <v>41.29</v>
      </c>
      <c r="K6" s="47" t="s">
        <v>119</v>
      </c>
      <c r="L6" s="73">
        <v>28</v>
      </c>
      <c r="M6" s="73">
        <v>9</v>
      </c>
    </row>
    <row r="7" spans="1:13" ht="13.5">
      <c r="A7" s="17"/>
      <c r="B7" s="73"/>
      <c r="C7" s="17"/>
      <c r="D7" s="73"/>
      <c r="E7" s="73"/>
      <c r="F7" s="73"/>
      <c r="G7" s="73"/>
      <c r="H7" s="73"/>
      <c r="I7" s="73"/>
      <c r="J7" s="73">
        <v>40</v>
      </c>
      <c r="K7" s="47" t="s">
        <v>119</v>
      </c>
      <c r="L7" s="73">
        <v>28</v>
      </c>
      <c r="M7" s="73">
        <v>9.1</v>
      </c>
    </row>
    <row r="8" spans="1:13" ht="13.5">
      <c r="A8" s="17"/>
      <c r="B8" s="73"/>
      <c r="C8" s="17"/>
      <c r="D8" s="73"/>
      <c r="E8" s="73"/>
      <c r="F8" s="73"/>
      <c r="G8" s="73"/>
      <c r="H8" s="73"/>
      <c r="I8" s="73"/>
      <c r="J8" s="73">
        <v>40.93</v>
      </c>
      <c r="K8" s="47" t="s">
        <v>119</v>
      </c>
      <c r="L8" s="73">
        <v>28</v>
      </c>
      <c r="M8" s="73">
        <v>9.2</v>
      </c>
    </row>
    <row r="9" spans="1:13" ht="13.5">
      <c r="A9" s="17"/>
      <c r="B9" s="73"/>
      <c r="C9" s="17"/>
      <c r="D9" s="73"/>
      <c r="E9" s="73"/>
      <c r="F9" s="73"/>
      <c r="G9" s="73"/>
      <c r="H9" s="73"/>
      <c r="I9" s="73"/>
      <c r="J9" s="73">
        <v>63.58</v>
      </c>
      <c r="K9" s="47" t="s">
        <v>119</v>
      </c>
      <c r="L9" s="73">
        <v>28</v>
      </c>
      <c r="M9" s="73">
        <v>9.3</v>
      </c>
    </row>
    <row r="10" spans="1:13" ht="13.5">
      <c r="A10" s="17"/>
      <c r="B10" s="73"/>
      <c r="C10" s="17"/>
      <c r="D10" s="73"/>
      <c r="E10" s="73"/>
      <c r="F10" s="73"/>
      <c r="G10" s="73"/>
      <c r="H10" s="73"/>
      <c r="I10" s="73"/>
      <c r="J10" s="73"/>
      <c r="K10" s="47"/>
      <c r="L10" s="73"/>
      <c r="M10" s="73"/>
    </row>
    <row r="11" spans="1:13" ht="13.5">
      <c r="A11" s="17" t="s">
        <v>120</v>
      </c>
      <c r="B11" s="73">
        <f>INT(D11*H11/2)*2</f>
        <v>14</v>
      </c>
      <c r="C11" s="17" t="s">
        <v>145</v>
      </c>
      <c r="D11" s="73">
        <f>SUM(J11:J12)</f>
        <v>65.32</v>
      </c>
      <c r="E11" s="73">
        <v>0.113</v>
      </c>
      <c r="F11" s="84">
        <f>F$4</f>
        <v>0.95</v>
      </c>
      <c r="G11" s="73">
        <v>1</v>
      </c>
      <c r="H11" s="73">
        <f>E11*F11*(1+G11)</f>
        <v>0.2147</v>
      </c>
      <c r="I11" s="84">
        <v>0.85</v>
      </c>
      <c r="J11" s="73">
        <v>51.64</v>
      </c>
      <c r="K11" s="47" t="s">
        <v>121</v>
      </c>
      <c r="L11" s="73">
        <v>3</v>
      </c>
      <c r="M11" s="73">
        <v>4.6</v>
      </c>
    </row>
    <row r="12" spans="1:13" ht="13.5">
      <c r="A12" s="17"/>
      <c r="B12" s="73"/>
      <c r="C12" s="17"/>
      <c r="D12" s="73"/>
      <c r="E12" s="73"/>
      <c r="F12" s="73"/>
      <c r="G12" s="73"/>
      <c r="H12" s="73"/>
      <c r="I12" s="73"/>
      <c r="J12" s="73">
        <v>13.68</v>
      </c>
      <c r="K12" s="47" t="s">
        <v>121</v>
      </c>
      <c r="L12" s="73">
        <v>3</v>
      </c>
      <c r="M12" s="73">
        <v>4.8</v>
      </c>
    </row>
    <row r="13" spans="1:13" ht="13.5">
      <c r="A13" s="17"/>
      <c r="B13" s="73"/>
      <c r="C13" s="17"/>
      <c r="D13" s="73"/>
      <c r="E13" s="73"/>
      <c r="F13" s="73"/>
      <c r="G13" s="73"/>
      <c r="H13" s="73"/>
      <c r="I13" s="73"/>
      <c r="J13" s="73"/>
      <c r="K13" s="47"/>
      <c r="L13" s="73"/>
      <c r="M13" s="73"/>
    </row>
    <row r="14" spans="1:13" ht="13.5">
      <c r="A14" s="17" t="s">
        <v>122</v>
      </c>
      <c r="B14" s="73">
        <v>2</v>
      </c>
      <c r="C14" s="17" t="s">
        <v>146</v>
      </c>
      <c r="D14" s="73">
        <f>SUM(J14:J15)</f>
        <v>2</v>
      </c>
      <c r="E14" s="73">
        <v>0.411</v>
      </c>
      <c r="F14" s="84">
        <v>0.7</v>
      </c>
      <c r="G14" s="73">
        <v>1</v>
      </c>
      <c r="H14" s="73" t="s">
        <v>148</v>
      </c>
      <c r="I14" s="84">
        <v>0.3</v>
      </c>
      <c r="J14" s="73">
        <v>2</v>
      </c>
      <c r="K14" s="47" t="s">
        <v>123</v>
      </c>
      <c r="L14" s="73">
        <v>4</v>
      </c>
      <c r="M14" s="73">
        <v>6.46</v>
      </c>
    </row>
    <row r="15" spans="1:13" ht="13.5">
      <c r="A15" s="17"/>
      <c r="B15" s="73"/>
      <c r="C15" s="17"/>
      <c r="D15" s="73"/>
      <c r="E15" s="73"/>
      <c r="F15" s="73"/>
      <c r="G15" s="73"/>
      <c r="H15" s="73"/>
      <c r="I15" s="73"/>
      <c r="J15" s="73"/>
      <c r="K15" s="47"/>
      <c r="L15" s="73"/>
      <c r="M15" s="73"/>
    </row>
    <row r="16" spans="1:13" ht="13.5">
      <c r="A16" s="17" t="s">
        <v>124</v>
      </c>
      <c r="B16" s="73">
        <v>4</v>
      </c>
      <c r="C16" s="17" t="s">
        <v>147</v>
      </c>
      <c r="D16" s="73">
        <f>SUM(J16:J17)</f>
        <v>1</v>
      </c>
      <c r="E16" s="73">
        <v>2.13</v>
      </c>
      <c r="F16" s="84">
        <v>0.9</v>
      </c>
      <c r="G16" s="73">
        <v>1</v>
      </c>
      <c r="H16" s="73" t="s">
        <v>148</v>
      </c>
      <c r="I16" s="84">
        <v>0.1</v>
      </c>
      <c r="J16" s="73">
        <v>0.5</v>
      </c>
      <c r="K16" s="47" t="s">
        <v>121</v>
      </c>
      <c r="L16" s="73" t="s">
        <v>125</v>
      </c>
      <c r="M16" s="73">
        <v>45</v>
      </c>
    </row>
    <row r="17" spans="1:13" ht="13.5">
      <c r="A17" s="17"/>
      <c r="B17" s="73"/>
      <c r="C17" s="17"/>
      <c r="D17" s="73"/>
      <c r="E17" s="73"/>
      <c r="F17" s="73"/>
      <c r="G17" s="73"/>
      <c r="H17" s="73"/>
      <c r="I17" s="73"/>
      <c r="J17" s="73">
        <v>0.5</v>
      </c>
      <c r="K17" s="47" t="s">
        <v>121</v>
      </c>
      <c r="L17" s="73" t="s">
        <v>125</v>
      </c>
      <c r="M17" s="73">
        <v>28</v>
      </c>
    </row>
  </sheetData>
  <printOptions/>
  <pageMargins left="0.75" right="0.75" top="1" bottom="1" header="0.5" footer="0.5"/>
  <pageSetup fitToHeight="1" fitToWidth="1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burke</cp:lastModifiedBy>
  <cp:lastPrinted>2007-11-26T14:37:43Z</cp:lastPrinted>
  <dcterms:created xsi:type="dcterms:W3CDTF">2006-12-09T20:20:35Z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